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Bf5iRG1tcQU+0ZqYERCVdWxwljjRzVRPmNZnIm5bH75qOILNynRW588z9xVx+tLyHYR2R5r1AArEl3m8/fkdLA==" workbookSaltValue="TE8kKA3if9Tc2lI6+7IC2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S19" i="8"/>
  <c r="C13" i="7"/>
  <c r="BG10" i="8"/>
  <c r="Y9" i="11"/>
  <c r="BD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P17" i="11" s="1"/>
  <c r="BK12" i="11"/>
  <c r="BF10" i="11"/>
  <c r="Q10" i="11" s="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X19" i="21" s="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R18" i="14" s="1"/>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G19" i="7" l="1"/>
  <c r="AL19" i="21"/>
  <c r="D19" i="12"/>
  <c r="BW21" i="20"/>
  <c r="BI18"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<sst xmlns="http://schemas.openxmlformats.org/spreadsheetml/2006/main" count="2088" uniqueCount="918">
  <si>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</si>
  <si>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</si>
  <si>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</si>
  <si>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</si>
  <si>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</si>
  <si>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</si>
  <si>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</si>
  <si>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</si>
  <si>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</si>
  <si>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</si>
  <si>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</si>
  <si>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</si>
  <si>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</si>
  <si>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</si>
  <si>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</si>
  <si>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</si>
  <si>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</si>
  <si>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</si>
  <si>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</si>
  <si>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</si>
  <si>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</si>
  <si>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</si>
  <si>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</si>
  <si>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</si>
  <si>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</si>
  <si>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</si>
  <si>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</si>
  <si>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</si>
  <si>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</si>
  <si>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</si>
  <si>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</si>
  <si>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</si>
  <si>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</si>
  <si>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</si>
  <si>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</si>
  <si>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</si>
  <si>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</si>
  <si>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</si>
  <si>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</si>
  <si>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</si>
  <si>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</si>
  <si>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</si>
  <si>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</si>
  <si>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</si>
  <si>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</si>
  <si>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</si>
  <si>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</si>
  <si>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</si>
  <si>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</si>
  <si>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</si>
  <si>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</si>
  <si>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</si>
  <si>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</si>
  <si>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</si>
  <si>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</si>
  <si>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</si>
  <si>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</si>
  <si>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</si>
  <si>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</si>
  <si>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</si>
  <si>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</si>
  <si>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</si>
  <si>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</si>
  <si>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</si>
  <si>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</si>
  <si>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</si>
  <si>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</si>
  <si>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</si>
  <si>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</si>
  <si>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</si>
  <si>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</si>
  <si>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</si>
  <si>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</si>
  <si>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</si>
  <si>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</si>
  <si>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</si>
  <si>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</si>
  <si>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</si>
  <si>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</si>
  <si>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</si>
  <si>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</si>
  <si>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</si>
  <si>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</si>
  <si>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</si>
  <si>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</si>
  <si>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</si>
  <si>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</si>
  <si>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</si>
  <si>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</si>
  <si>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</si>
  <si>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</si>
  <si>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</si>
  <si>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</si>
  <si>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</si>
  <si>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</si>
  <si>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</si>
  <si>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</si>
  <si>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</si>
  <si>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</si>
  <si>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</si>
  <si>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</si>
  <si>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</si>
  <si>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</si>
  <si>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</si>
  <si>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</si>
  <si>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</si>
  <si>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</si>
  <si>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</si>
  <si>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</si>
  <si>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</si>
  <si>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</si>
  <si>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</si>
  <si>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</si>
  <si>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</si>
  <si>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</si>
  <si>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</si>
  <si>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</si>
  <si>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</si>
  <si>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</si>
  <si>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</si>
  <si>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</si>
  <si>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</si>
  <si>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</si>
  <si>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</si>
  <si>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</si>
  <si>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</si>
  <si>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</si>
  <si>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</si>
  <si>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</si>
  <si>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</si>
  <si>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</si>
  <si>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</si>
  <si>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</si>
  <si>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</si>
  <si>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</si>
  <si>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</si>
  <si>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</si>
  <si>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</si>
  <si>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</si>
  <si>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</si>
  <si>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</si>
  <si>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</si>
  <si>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</si>
  <si>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</si>
  <si>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</si>
  <si>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</si>
  <si>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</si>
  <si>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</si>
  <si>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</si>
  <si>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</si>
  <si>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</si>
  <si>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</si>
  <si>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</si>
  <si>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</si>
  <si>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</si>
  <si>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</si>
  <si>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</si>
  <si>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</si>
  <si>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</si>
  <si>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</si>
  <si>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</si>
  <si>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</si>
  <si>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</si>
  <si>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</si>
  <si>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</si>
  <si>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</si>
  <si>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</si>
  <si>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</si>
  <si>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</si>
  <si>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</si>
  <si>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</si>
  <si>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</si>
  <si>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</si>
  <si>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</si>
  <si>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</si>
  <si>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</si>
  <si>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</si>
  <si>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</si>
  <si>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</si>
  <si>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</si>
  <si>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</si>
  <si>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</si>
  <si>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</si>
  <si>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</si>
  <si>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</si>
  <si>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</si>
  <si>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</si>
  <si>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</si>
  <si>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</si>
  <si>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</si>
  <si>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</si>
  <si>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</si>
  <si>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</si>
  <si>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</si>
  <si>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</si>
  <si>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</si>
  <si>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</si>
  <si>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</si>
  <si>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</si>
  <si>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</si>
  <si>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</si>
  <si>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</si>
  <si>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</si>
  <si>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</si>
  <si>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</si>
  <si>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</si>
  <si>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</si>
  <si>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</si>
  <si>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</si>
  <si>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</si>
  <si>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</si>
  <si>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</si>
  <si>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</si>
  <si>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</si>
  <si>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</si>
  <si>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</si>
  <si>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</si>
  <si>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</si>
  <si>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</si>
  <si>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</si>
  <si>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</si>
  <si>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</si>
  <si>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</si>
  <si>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</si>
  <si>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</si>
  <si>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</si>
  <si>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</si>
  <si>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</si>
  <si>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</si>
  <si>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</si>
  <si>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</si>
  <si>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</si>
  <si>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</si>
  <si>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</si>
  <si>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</si>
  <si>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</si>
  <si>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</si>
  <si>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</si>
  <si>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</si>
  <si>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</si>
  <si>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</si>
  <si>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</si>
  <si>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</si>
  <si>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</si>
  <si>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</si>
  <si>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</si>
  <si>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</si>
  <si>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</si>
  <si>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</si>
  <si>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</si>
  <si>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</si>
  <si>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</si>
  <si>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</si>
  <si>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</si>
  <si>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</si>
  <si>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</si>
  <si>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</si>
  <si>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</si>
  <si>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</si>
  <si>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</si>
  <si>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</si>
  <si>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</si>
  <si>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</si>
  <si>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</si>
  <si>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</si>
  <si>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</si>
  <si>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</si>
  <si>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</si>
  <si>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</si>
  <si>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</si>
  <si>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</si>
  <si>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</si>
  <si>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</si>
  <si>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</si>
  <si>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</si>
  <si>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</si>
  <si>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</si>
  <si>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</si>
  <si>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</si>
  <si>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</si>
  <si>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</si>
  <si>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</si>
  <si>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</si>
  <si>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</si>
  <si>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</si>
  <si>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</si>
  <si>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</si>
  <si>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</si>
  <si>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</si>
  <si>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</si>
  <si>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</si>
  <si>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</si>
  <si>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</si>
  <si>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</si>
  <si>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</si>
  <si>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</si>
  <si>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</si>
  <si>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</si>
  <si>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</si>
  <si>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</si>
  <si>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</si>
  <si>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</si>
  <si>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</si>
  <si>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</si>
  <si>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</si>
  <si>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</si>
  <si>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</si>
  <si>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</si>
  <si>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</si>
  <si>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</si>
  <si>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</si>
  <si>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</si>
  <si>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</si>
  <si>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</si>
  <si>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</si>
  <si>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</si>
  <si>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</si>
  <si>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</si>
  <si>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</si>
  <si>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</si>
  <si>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</si>
  <si>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</si>
  <si>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</si>
  <si>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</si>
  <si>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</si>
  <si>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</si>
  <si>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</si>
  <si>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</si>
  <si>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</si>
  <si>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</si>
  <si>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</si>
  <si>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</si>
  <si>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</si>
  <si>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</si>
  <si>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</si>
  <si>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</si>
  <si>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</si>
  <si>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</si>
  <si>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</si>
  <si>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</si>
  <si>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</si>
  <si>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</si>
  <si>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</si>
  <si>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</si>
  <si>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</si>
  <si>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</si>
  <si>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</si>
  <si>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</si>
  <si>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</si>
  <si>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</si>
  <si>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</si>
  <si>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</si>
  <si>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</si>
  <si>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</si>
  <si>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</si>
  <si>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</si>
  <si>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</si>
  <si>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</si>
  <si>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</si>
  <si>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</si>
  <si>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</si>
  <si>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</si>
  <si>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</si>
  <si>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</si>
  <si>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</si>
  <si>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</si>
  <si>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</si>
  <si>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</si>
  <si>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</si>
  <si>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</si>
  <si>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</si>
  <si>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</si>
  <si>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</si>
  <si>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</si>
  <si>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</si>
  <si>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</si>
  <si>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</si>
  <si>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</si>
  <si>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</si>
  <si>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</si>
  <si>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</si>
  <si>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</si>
  <si>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</si>
  <si>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</si>
  <si>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</si>
  <si>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</si>
  <si>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</si>
  <si>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</si>
  <si>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</si>
  <si>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</si>
  <si>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</si>
  <si>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</si>
  <si>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</si>
  <si>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</si>
  <si>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</si>
  <si>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</si>
  <si>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</si>
  <si>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</si>
  <si>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</si>
  <si>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</si>
  <si>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</si>
  <si>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</si>
  <si>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</si>
  <si>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</si>
  <si>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</si>
  <si>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</si>
  <si>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</si>
  <si>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</si>
  <si>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</si>
  <si>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</si>
  <si>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</si>
  <si>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</si>
  <si>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</si>
  <si>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</si>
  <si>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</si>
  <si>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</si>
  <si>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</si>
  <si>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</si>
  <si>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</si>
  <si>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</si>
  <si>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</si>
  <si>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</si>
  <si>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</si>
  <si>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</si>
  <si>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</si>
  <si>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</si>
  <si>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</si>
  <si>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</si>
  <si>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</si>
  <si>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</si>
  <si>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</si>
  <si>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</si>
  <si>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</si>
  <si>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</si>
  <si>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</si>
  <si>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</si>
  <si>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</si>
  <si>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</si>
  <si>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</si>
  <si>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</si>
  <si>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</si>
  <si>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</si>
  <si>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</si>
  <si>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</si>
  <si>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</si>
  <si>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</si>
  <si>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</si>
  <si>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</si>
  <si>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</si>
  <si>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</si>
  <si>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</si>
  <si>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</si>
  <si>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</si>
  <si>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</si>
  <si>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</si>
  <si>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</si>
  <si>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</si>
  <si>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</si>
  <si>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</si>
  <si>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</si>
  <si>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</si>
  <si>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</si>
  <si>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</si>
  <si>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</si>
  <si>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</si>
  <si>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</si>
  <si>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</si>
  <si>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</si>
  <si>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</si>
  <si>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</si>
  <si>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</si>
  <si>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</si>
  <si>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</si>
  <si>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</si>
  <si>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</si>
  <si>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</si>
  <si>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</si>
  <si>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</si>
  <si>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</si>
  <si>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</si>
  <si>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</si>
  <si>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</si>
  <si>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</si>
  <si>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</si>
  <si>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</si>
  <si>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</si>
  <si>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</si>
  <si>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</si>
  <si>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</si>
  <si>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</si>
  <si>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</si>
  <si>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</si>
  <si>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</si>
  <si>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</si>
  <si>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</si>
  <si>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</si>
  <si>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</si>
  <si>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</si>
  <si>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</si>
  <si>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</si>
  <si>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</si>
  <si>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</si>
  <si>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</si>
  <si>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</si>
  <si>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</si>
  <si>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</si>
  <si>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</si>
  <si>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</si>
  <si>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</si>
  <si>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</si>
  <si>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</si>
  <si>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</si>
  <si>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</si>
  <si>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</si>
  <si>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</si>
  <si>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</si>
  <si>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</si>
  <si>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</si>
  <si>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</si>
  <si>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</si>
  <si>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</si>
  <si>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</si>
  <si>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</si>
  <si>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</si>
  <si>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</si>
  <si>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</si>
  <si>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</si>
  <si>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</si>
  <si>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</si>
  <si>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</si>
  <si>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</si>
  <si>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</si>
  <si>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</si>
  <si>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</si>
  <si>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</si>
  <si>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</si>
  <si>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</si>
  <si>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</si>
  <si>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</si>
  <si>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</si>
  <si>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</si>
  <si>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</si>
  <si>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</si>
  <si>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</si>
  <si>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</si>
  <si>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</si>
  <si>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</si>
  <si>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</si>
  <si>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</si>
  <si>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</si>
  <si>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</si>
  <si>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</si>
  <si>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</si>
  <si>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</si>
  <si>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</si>
  <si>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</si>
  <si>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</si>
  <si>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</si>
  <si>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</si>
  <si>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</si>
  <si>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</si>
  <si>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</si>
  <si>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</si>
  <si>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</si>
  <si>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</si>
  <si>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</si>
  <si>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</si>
  <si>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</si>
  <si>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</si>
  <si>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</si>
  <si>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</si>
  <si>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</si>
  <si>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</si>
  <si>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</si>
  <si>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</si>
  <si>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</si>
  <si>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</si>
  <si>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</si>
  <si>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</si>
  <si>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</si>
  <si>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</si>
  <si>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</si>
  <si>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</si>
  <si>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</si>
  <si>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</si>
  <si>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</si>
  <si>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</si>
  <si>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</si>
  <si>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</si>
  <si>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</si>
  <si>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</si>
  <si>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</si>
  <si>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</si>
  <si>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</si>
  <si>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</si>
  <si>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</si>
  <si>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</si>
  <si>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</si>
  <si>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</si>
  <si>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</si>
  <si>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</si>
  <si>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</si>
  <si>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</si>
  <si>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</si>
  <si>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</si>
  <si>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</si>
  <si>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</si>
  <si>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</si>
  <si>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</si>
  <si>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</si>
  <si>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</si>
  <si>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</si>
  <si>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</si>
  <si>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</si>
  <si>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</si>
  <si>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</si>
  <si>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</si>
  <si>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</si>
  <si>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</si>
  <si>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</si>
  <si>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</si>
  <si>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</si>
  <si>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</si>
  <si>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</si>
  <si>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</si>
  <si>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</si>
  <si>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</si>
  <si>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</si>
  <si>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</si>
  <si>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</si>
  <si>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</si>
  <si>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</si>
  <si>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</si>
  <si>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</si>
  <si>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</si>
  <si>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</si>
  <si>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</si>
  <si>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</si>
  <si>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</si>
  <si>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</si>
  <si>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</si>
  <si>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</si>
  <si>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</si>
  <si>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</si>
  <si>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</si>
  <si>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</si>
  <si>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</si>
  <si>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</si>
  <si>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</si>
  <si>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</si>
  <si>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</si>
  <si>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</si>
  <si>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</si>
  <si>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</si>
  <si>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</si>
  <si>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</si>
  <si>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</si>
  <si>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</si>
  <si>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</si>
  <si>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</si>
  <si>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</si>
  <si>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</si>
  <si>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</si>
  <si>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</si>
  <si>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</si>
  <si>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</si>
  <si>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</si>
  <si>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</si>
  <si>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</si>
  <si>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</si>
  <si>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</si>
  <si>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</si>
  <si>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</si>
  <si>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</si>
  <si>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</si>
  <si>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</si>
  <si>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</si>
  <si>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</si>
  <si>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</si>
  <si>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</si>
  <si>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</si>
  <si>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</si>
  <si>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</si>
  <si>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</si>
  <si>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</si>
  <si>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</si>
  <si>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</si>
  <si>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</si>
  <si>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</si>
  <si>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</si>
  <si>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</si>
  <si>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</si>
  <si>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</si>
  <si>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</si>
  <si>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</si>
  <si>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</si>
  <si>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</si>
  <si>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</si>
  <si>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</si>
  <si>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</si>
  <si>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</si>
  <si>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</si>
  <si>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</si>
  <si>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</si>
  <si>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</si>
  <si>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</si>
  <si>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</si>
  <si>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</si>
  <si>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</si>
  <si>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</si>
  <si>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</si>
  <si>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</si>
  <si>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</si>
  <si>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</si>
  <si>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</si>
  <si>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</si>
  <si>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</si>
  <si>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</si>
  <si>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</si>
  <si>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</si>
  <si>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</si>
  <si>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</si>
  <si>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</si>
  <si>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</si>
  <si>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</si>
  <si>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</si>
  <si>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</si>
  <si>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</si>
  <si>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</si>
  <si>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</si>
  <si>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</si>
  <si>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</si>
  <si>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</si>
  <si>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</si>
  <si>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</si>
  <si>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</si>
  <si>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</si>
  <si>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</si>
  <si>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</si>
  <si>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</si>
  <si>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</si>
  <si>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</si>
  <si>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</si>
  <si>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</si>
  <si>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</si>
  <si>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</si>
  <si>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</si>
  <si>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</si>
  <si>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</si>
  <si>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</si>
  <si>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</si>
  <si>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</si>
  <si>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</si>
  <si>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</si>
  <si>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</si>
  <si>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</si>
  <si>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</si>
  <si>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</si>
  <si>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</si>
  <si>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</si>
  <si>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</si>
  <si>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</si>
  <si>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</si>
  <si>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</si>
  <si>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</si>
  <si>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</si>
  <si>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</si>
  <si>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</si>
  <si>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</si>
  <si>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</si>
  <si>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</si>
  <si>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</si>
  <si>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</si>
  <si>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</si>
  <si>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</si>
  <si>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</si>
  <si>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</si>
  <si>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</si>
  <si>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</si>
  <si>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</si>
  <si>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</si>
  <si>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</si>
  <si>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</si>
  <si>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</si>
  <si>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</si>
  <si>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</si>
  <si>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</si>
  <si>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</si>
  <si>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</si>
  <si>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</si>
  <si>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</si>
  <si>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</si>
  <si>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</si>
  <si>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</si>
  <si>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</si>
  <si>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</si>
  <si>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</si>
  <si>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</si>
  <si>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</si>
  <si>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</si>
  <si>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</si>
  <si>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</si>
  <si>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</si>
  <si>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</si>
  <si>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</si>
  <si>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</si>
  <si>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</si>
  <si>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</si>
  <si>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</si>
  <si>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</si>
  <si>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</si>
  <si>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</si>
  <si>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</si>
  <si>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</si>
  <si>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</si>
  <si>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</si>
  <si>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</si>
  <si>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</si>
  <si>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</si>
  <si>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</si>
  <si>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</si>
  <si>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</si>
  <si>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</si>
  <si>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</si>
  <si>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</si>
  <si>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</si>
  <si>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</si>
  <si>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</si>
  <si>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</si>
  <si>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</si>
  <si>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</si>
  <si>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</si>
  <si>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</si>
  <si>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</si>
  <si>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</si>
  <si>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</si>
  <si>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</si>
  <si>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</si>
  <si>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</si>
  <si>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</si>
  <si>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</si>
  <si>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</si>
  <si>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</si>
  <si>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</si>
  <si>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</si>
  <si>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</si>
  <si>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</si>
  <si>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</si>
  <si>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</si>
  <si>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</si>
  <si>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</si>
  <si>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</si>
  <si>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</si>
  <si>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</si>
  <si>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</si>
  <si>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</si>
  <si>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</si>
  <si>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</si>
  <si>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</si>
  <si>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</si>
  <si>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</si>
  <si>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</si>
  <si>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</si>
  <si>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</si>
  <si>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</si>
  <si>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</si>
  <si>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</si>
  <si>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</si>
  <si>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</si>
  <si>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</si>
  <si>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</si>
  <si>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</si>
  <si>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</si>
  <si>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</si>
  <si>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</si>
  <si>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</si>
  <si>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</si>
  <si>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</si>
  <si>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</si>
  <si>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</si>
  <si>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</si>
  <si>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</si>
  <si>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</si>
  <si>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</si>
  <si>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</si>
  <si>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</si>
  <si>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</si>
  <si>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</si>
  <si>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</si>
  <si>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</si>
  <si>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</si>
  <si>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</si>
  <si>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</si>
  <si>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</si>
  <si>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</si>
  <si>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</si>
  <si>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</si>
  <si>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</si>
  <si>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</si>
  <si>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</si>
  <si>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</si>
  <si>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</si>
  <si>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</si>
  <si>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</si>
  <si>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</si>
  <si>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</si>
  <si>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</si>
  <si>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</si>
  <si>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</si>
  <si>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</si>
  <si>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</si>
  <si>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</si>
  <si>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</si>
  <si>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</si>
  <si>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</si>
  <si>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</si>
  <si>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</si>
  <si>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TERRASSA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</si>
</sst>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pXBjwNiB4dYSUH3/2JE+qe7Cpm2xHRyPprLZtBD4fjqIA9nQ0BlZnQ0zml31xMERTvIpJSWf9BbBYTb6W/EWA==" saltValue="1y3X0u71Inzy42ZMDxlt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TERRASSA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8064</v>
      </c>
      <c r="D9" s="404">
        <f>IF(ISNUMBER(C9/Datos!BH9),C9/Datos!BH9," - ")</f>
        <v>1152</v>
      </c>
      <c r="E9" s="403">
        <f>IF(ISNUMBER(IF(J_V="SI",Datos!J9,Datos!J9+Datos!Z9)),IF(J_V="SI",Datos!J9,Datos!J9+Datos!Z9)," - ")</f>
        <v>12533</v>
      </c>
      <c r="F9" s="404">
        <f>IF(ISNUMBER(E9/B9),E9/B9," - ")</f>
        <v>1790.4285714285713</v>
      </c>
      <c r="G9" s="403">
        <f>IF(ISNUMBER(IF(J_V="SI",Datos!K9,Datos!K9+Datos!AA9)),IF(J_V="SI",Datos!K9,Datos!K9+Datos!AA9)," - ")</f>
        <v>13887</v>
      </c>
      <c r="H9" s="404">
        <f>IF(ISNUMBER(G9/B9),G9/B9," - ")</f>
        <v>1983.8571428571429</v>
      </c>
      <c r="I9" s="403">
        <f>IF(ISNUMBER(IF(J_V="SI",Datos!L9,Datos!L9+Datos!AB9)),IF(J_V="SI",Datos!L9,Datos!L9+Datos!AB9)," - ")</f>
        <v>6701</v>
      </c>
      <c r="J9" s="404">
        <f>IF(ISNUMBER(I9/B9),I9/B9," - ")</f>
        <v>957.28571428571433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76</v>
      </c>
      <c r="D10" s="404">
        <f>IF(ISNUMBER(C10/Datos!BH10),C10/Datos!BH10," - ")</f>
        <v>76</v>
      </c>
      <c r="E10" s="403">
        <f>IF(ISNUMBER(Datos!J10),Datos!J10," - ")</f>
        <v>175</v>
      </c>
      <c r="F10" s="404">
        <f>IF(ISNUMBER(E10/B10),E10/B10," - ")</f>
        <v>175</v>
      </c>
      <c r="G10" s="403">
        <f>IF(ISNUMBER(Datos!K10),Datos!K10," - ")</f>
        <v>175</v>
      </c>
      <c r="H10" s="404">
        <f>IF(ISNUMBER(G10/B10),G10/B10," - ")</f>
        <v>175</v>
      </c>
      <c r="I10" s="403">
        <f>IF(ISNUMBER(Datos!L10),Datos!L10," - ")</f>
        <v>76</v>
      </c>
      <c r="J10" s="404">
        <f>IF(ISNUMBER(I10/B10),I10/B10," - ")</f>
        <v>76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1038</v>
      </c>
      <c r="D11" s="404">
        <f>IF(ISNUMBER(C11/Datos!BH11),C11/Datos!BH11," - ")</f>
        <v>519</v>
      </c>
      <c r="E11" s="403">
        <f>IF(ISNUMBER(IF(J_V="SI",Datos!J11,Datos!J11+Datos!Z11)),IF(J_V="SI",Datos!J11,Datos!J11+Datos!Z11)," - ")</f>
        <v>2249</v>
      </c>
      <c r="F11" s="404">
        <f>IF(ISNUMBER(E11/B11),E11/B11," - ")</f>
        <v>1124.5</v>
      </c>
      <c r="G11" s="403">
        <f>IF(ISNUMBER(IF(J_V="SI",Datos!K11,Datos!K11+Datos!AA11)),IF(J_V="SI",Datos!K11,Datos!K11+Datos!AA11)," - ")</f>
        <v>2236</v>
      </c>
      <c r="H11" s="404">
        <f>IF(ISNUMBER(G11/B11),G11/B11," - ")</f>
        <v>1118</v>
      </c>
      <c r="I11" s="403">
        <f>IF(ISNUMBER(IF(J_V="SI",Datos!L11,Datos!L11+Datos!AB11)),IF(J_V="SI",Datos!L11,Datos!L11+Datos!AB11)," - ")</f>
        <v>1099</v>
      </c>
      <c r="J11" s="404">
        <f>IF(ISNUMBER(I11/B11),I11/B11," - ")</f>
        <v>549.5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9178</v>
      </c>
      <c r="D13" s="850" t="str">
        <f>IF(ISNUMBER(C13/Datos!BI13),C13/Datos!BI13," - ")</f>
        <v xml:space="preserve"> - </v>
      </c>
      <c r="E13" s="849">
        <f>SUBTOTAL(9,E8:E12)</f>
        <v>14957</v>
      </c>
      <c r="F13" s="850">
        <f>IF(ISNUMBER(E13/B13),E13/B13," - ")</f>
        <v>1495.7</v>
      </c>
      <c r="G13" s="849">
        <f>SUBTOTAL(9,G8:G12)</f>
        <v>16298</v>
      </c>
      <c r="H13" s="850">
        <f>IF(ISNUMBER(G13/B13),G13/B13," - ")</f>
        <v>1629.8</v>
      </c>
      <c r="I13" s="849">
        <f>SUBTOTAL(9,I8:I12)</f>
        <v>7876</v>
      </c>
      <c r="J13" s="850">
        <f>IF(ISNUMBER(I13/B13),I13/B13," - ")</f>
        <v>787.6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2827</v>
      </c>
      <c r="D15" s="404">
        <f>IF(ISNUMBER(C15/Datos!BH15),C15/Datos!BH15," - ")</f>
        <v>706.75</v>
      </c>
      <c r="E15" s="403">
        <f>IF(ISNUMBER(IF(D_I="SI",Datos!J15,Datos!J15+Datos!AD15)),IF(D_I="SI",Datos!J15,Datos!J15+Datos!AD15)," - ")</f>
        <v>10138</v>
      </c>
      <c r="F15" s="404">
        <f>IF(ISNUMBER(E15/B15),E15/B15," - ")</f>
        <v>2534.5</v>
      </c>
      <c r="G15" s="403">
        <f>IF(ISNUMBER(IF(D_I="SI",Datos!K15,Datos!K15+Datos!AE15)),IF(D_I="SI",Datos!K15,Datos!K15+Datos!AE15)," - ")</f>
        <v>10270</v>
      </c>
      <c r="H15" s="404">
        <f>IF(ISNUMBER(G15/B15),G15/B15," - ")</f>
        <v>2567.5</v>
      </c>
      <c r="I15" s="403">
        <f>IF(ISNUMBER(IF(D_I="SI",Datos!L15,Datos!L15+Datos!AF15)),IF(D_I="SI",Datos!L15,Datos!L15+Datos!AF15)," - ")</f>
        <v>2911</v>
      </c>
      <c r="J15" s="404">
        <f>IF(ISNUMBER(I15/B15),I15/B15," - ")</f>
        <v>727.75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147</v>
      </c>
      <c r="D17" s="404">
        <f>IF(ISNUMBER(C17/Datos!BH17),C17/Datos!BH17," - ")</f>
        <v>147</v>
      </c>
      <c r="E17" s="403">
        <f>IF(ISNUMBER(IF(D_I="SI",Datos!J17,Datos!J17+Datos!AD17)),IF(D_I="SI",Datos!J17,Datos!J17+Datos!AD17)," - ")</f>
        <v>1144</v>
      </c>
      <c r="F17" s="404">
        <f>IF(ISNUMBER(E17/B17),E17/B17," - ")</f>
        <v>1144</v>
      </c>
      <c r="G17" s="403">
        <f>IF(ISNUMBER(IF(D_I="SI",Datos!K17,Datos!K17+Datos!AE17)),IF(D_I="SI",Datos!K17,Datos!K17+Datos!AE17)," - ")</f>
        <v>1102</v>
      </c>
      <c r="H17" s="404">
        <f>IF(ISNUMBER(G17/B17),G17/B17," - ")</f>
        <v>1102</v>
      </c>
      <c r="I17" s="403">
        <f>IF(ISNUMBER(IF(D_I="SI",Datos!L17,Datos!L17+Datos!AF17)),IF(D_I="SI",Datos!L17,Datos!L17+Datos!AF17)," - ")</f>
        <v>189</v>
      </c>
      <c r="J17" s="404">
        <f>IF(ISNUMBER(I17/B17),I17/B17," - ")</f>
        <v>189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2974</v>
      </c>
      <c r="D18" s="850" t="str">
        <f>IF(ISNUMBER(C18/Datos!BI18),C18/Datos!BI18," - ")</f>
        <v xml:space="preserve"> - </v>
      </c>
      <c r="E18" s="849">
        <f>SUBTOTAL(9,E14:E17)</f>
        <v>11282</v>
      </c>
      <c r="F18" s="850">
        <f>IF(ISNUMBER(E18/B18),E18/B18," - ")</f>
        <v>2256.4</v>
      </c>
      <c r="G18" s="849">
        <f>SUBTOTAL(9,G14:G17)</f>
        <v>11372</v>
      </c>
      <c r="H18" s="850">
        <f>IF(ISNUMBER(G18/B18),G18/B18," - ")</f>
        <v>2274.4</v>
      </c>
      <c r="I18" s="849">
        <f>SUBTOTAL(9,I14:I17)</f>
        <v>3100</v>
      </c>
      <c r="J18" s="850">
        <f>IF(ISNUMBER(I18/B18),I18/B18," - ")</f>
        <v>620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12152</v>
      </c>
      <c r="D19" s="795" t="str">
        <f>IF(ISNUMBER(C19/Datos!BI19),C19/Datos!BI19," - ")</f>
        <v xml:space="preserve"> - </v>
      </c>
      <c r="E19" s="794">
        <f>SUBTOTAL(9,E9:E18)</f>
        <v>26239</v>
      </c>
      <c r="F19" s="795">
        <f>IF(ISNUMBER(E19/B19),E19/B19," - ")</f>
        <v>1874.2142857142858</v>
      </c>
      <c r="G19" s="794">
        <f>SUBTOTAL(9,G9:G18)</f>
        <v>27670</v>
      </c>
      <c r="H19" s="795">
        <f>IF(ISNUMBER(G19/B19),G19/B19," - ")</f>
        <v>1976.4285714285713</v>
      </c>
      <c r="I19" s="794">
        <f>SUBTOTAL(9,I9:I18)</f>
        <v>10976</v>
      </c>
      <c r="J19" s="795">
        <f>IF(ISNUMBER(I19/B19),I19/B19," - ")</f>
        <v>784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7442+hT6L9hd5ZK6FyOuIP2w+DgGkSp0V27/xIEbpVCUsFFKMkHq46dCgU7XhKXV0dEuxB3FQexO0jDGpbi8Zg==" saltValue="6uCfn6lYj+h7hHe1sUy0K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TERRASSA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0z1+1j2Z1yULfHWz1ZQOtyAbx2wSqNAR1s5NZmXczx2nZ5n46rhhHJTLjElJzH1M4xPF3ypRwqJMfa+GUZojDg==" saltValue="NaB2b3dSqyg3pA4M5wCA9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TERRASSA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3174</v>
      </c>
      <c r="E9" s="404">
        <f t="shared" ref="E9:E13" si="0">IF(ISNUMBER(D9/B9),D9/B9," - ")</f>
        <v>453.42857142857144</v>
      </c>
      <c r="F9" s="403">
        <f>IF(ISNUMBER(Datos!N9),Datos!N9," - ")</f>
        <v>6144</v>
      </c>
      <c r="G9" s="404">
        <f t="shared" ref="G9:G13" si="1">IF(ISNUMBER(F9/B9),F9/B9," - ")</f>
        <v>877.71428571428567</v>
      </c>
      <c r="H9" s="403">
        <f>IF(ISNUMBER(Datos!O9),Datos!O9," - ")</f>
        <v>7038</v>
      </c>
      <c r="I9" s="404">
        <f>IF(ISNUMBER(H9/B9),H9/B9," - ")</f>
        <v>1005.4285714285714</v>
      </c>
      <c r="BZ9" s="1186">
        <f>Datos!EZ9</f>
        <v>0</v>
      </c>
    </row>
    <row r="10" spans="1:78">
      <c r="A10" s="402" t="str">
        <f>Datos!A10</f>
        <v>Jdos. Violencia contra la mujer</v>
      </c>
      <c r="B10" s="427">
        <f>Datos!AO10</f>
        <v>1</v>
      </c>
      <c r="C10" s="410">
        <f>Datos!AQ10</f>
        <v>1</v>
      </c>
      <c r="D10" s="403">
        <f>IF(ISNUMBER(Datos!M10),Datos!M10," - ")</f>
        <v>44</v>
      </c>
      <c r="E10" s="404">
        <f>IF(ISNUMBER(D10/B10),D10/B10," - ")</f>
        <v>44</v>
      </c>
      <c r="F10" s="403">
        <f>IF(ISNUMBER(Datos!N10),Datos!N10," - ")</f>
        <v>83</v>
      </c>
      <c r="G10" s="404">
        <f>IF(ISNUMBER(F10/B10),F10/B10," - ")</f>
        <v>83</v>
      </c>
      <c r="H10" s="403">
        <f>IF(ISNUMBER(Datos!O10),Datos!O10," - ")</f>
        <v>68</v>
      </c>
      <c r="I10" s="404">
        <f t="shared" ref="I10:I12" si="2">IF(ISNUMBER(H10/B10),H10/B10," - ")</f>
        <v>68</v>
      </c>
      <c r="BZ10" s="1186">
        <f>Datos!EZ10</f>
        <v>0</v>
      </c>
    </row>
    <row r="11" spans="1:78">
      <c r="A11" s="402" t="str">
        <f>Datos!A11</f>
        <v xml:space="preserve">Jdos. Familia                                   </v>
      </c>
      <c r="B11" s="427">
        <f>Datos!AO11</f>
        <v>2</v>
      </c>
      <c r="C11" s="410">
        <f>Datos!AQ11</f>
        <v>2</v>
      </c>
      <c r="D11" s="403">
        <f>IF(ISNUMBER(Datos!M11),Datos!M11," - ")</f>
        <v>764</v>
      </c>
      <c r="E11" s="404">
        <f t="shared" si="0"/>
        <v>382</v>
      </c>
      <c r="F11" s="403">
        <f>IF(ISNUMBER(Datos!N11),Datos!N11," - ")</f>
        <v>1096</v>
      </c>
      <c r="G11" s="404">
        <f t="shared" si="1"/>
        <v>548</v>
      </c>
      <c r="H11" s="403">
        <f>IF(ISNUMBER(Datos!O11),Datos!O11," - ")</f>
        <v>667</v>
      </c>
      <c r="I11" s="404">
        <f t="shared" si="2"/>
        <v>333.5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3982</v>
      </c>
      <c r="E13" s="850">
        <f t="shared" si="0"/>
        <v>398.2</v>
      </c>
      <c r="F13" s="849">
        <f>SUBTOTAL(9,F9:F12)</f>
        <v>7323</v>
      </c>
      <c r="G13" s="850">
        <f t="shared" si="1"/>
        <v>732.3</v>
      </c>
      <c r="H13" s="849">
        <f>SUBTOTAL(9,H9:H12)</f>
        <v>7773</v>
      </c>
      <c r="I13" s="850">
        <f>IF(ISNUMBER(H13/B13),H13/B13," - ")</f>
        <v>777.3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1396</v>
      </c>
      <c r="E15" s="404">
        <f t="shared" ref="E15:E18" si="3">IF(ISNUMBER(D15/B15),D15/B15," - ")</f>
        <v>349</v>
      </c>
      <c r="F15" s="403">
        <f>IF(ISNUMBER(Datos!N15),Datos!N15," - ")</f>
        <v>6400</v>
      </c>
      <c r="G15" s="404">
        <f t="shared" ref="G15:G18" si="4">IF(ISNUMBER(F15/B15),F15/B15," - ")</f>
        <v>1600</v>
      </c>
      <c r="H15" s="403">
        <f>IF(ISNUMBER(Datos!O15),Datos!O15," - ")</f>
        <v>89</v>
      </c>
      <c r="I15" s="404">
        <f t="shared" ref="I15:I17" si="5">IF(ISNUMBER(H15/B15),H15/B15," - ")</f>
        <v>22.25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130</v>
      </c>
      <c r="E17" s="404">
        <f>IF(ISNUMBER(D17/B17),D17/B17," - ")</f>
        <v>130</v>
      </c>
      <c r="F17" s="403">
        <f>IF(ISNUMBER(Datos!N17),Datos!N17," - ")</f>
        <v>490</v>
      </c>
      <c r="G17" s="404">
        <f>IF(ISNUMBER(F17/B17),F17/B17," - ")</f>
        <v>490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1526</v>
      </c>
      <c r="E18" s="850">
        <f t="shared" si="3"/>
        <v>305.2</v>
      </c>
      <c r="F18" s="849">
        <f>SUBTOTAL(9,F15:F17)</f>
        <v>6890</v>
      </c>
      <c r="G18" s="850">
        <f t="shared" si="4"/>
        <v>1378</v>
      </c>
      <c r="H18" s="849">
        <f>SUBTOTAL(9,H15:H17)</f>
        <v>89</v>
      </c>
      <c r="I18" s="850">
        <f>IF(ISNUMBER(H18/B18),H18/B18," - ")</f>
        <v>17.8</v>
      </c>
      <c r="BZ18" s="1186"/>
    </row>
    <row r="19" spans="1:78" ht="14.25" thickTop="1" thickBot="1">
      <c r="A19" s="793" t="str">
        <f>Datos!A19</f>
        <v>TOTAL JURISDICCIONES</v>
      </c>
      <c r="B19" s="794">
        <f>Datos!AP19</f>
        <v>14</v>
      </c>
      <c r="C19" s="794">
        <f>Datos!AR19</f>
        <v>14</v>
      </c>
      <c r="D19" s="794">
        <f>SUBTOTAL(9,D8:D18)</f>
        <v>5508</v>
      </c>
      <c r="E19" s="795">
        <f>IF(ISNUMBER(D19/B19),D19/B19," - ")</f>
        <v>393.42857142857144</v>
      </c>
      <c r="F19" s="794">
        <f>SUBTOTAL(9,F8:F18)</f>
        <v>14213</v>
      </c>
      <c r="G19" s="795">
        <f>IF(ISNUMBER(F19/B19),F19/B19," - ")</f>
        <v>1015.2142857142857</v>
      </c>
      <c r="H19" s="794">
        <f>SUBTOTAL(9,H8:H18)</f>
        <v>7862</v>
      </c>
      <c r="I19" s="795">
        <f>IF(ISNUMBER(H19/B19),H19/B19," - ")</f>
        <v>561.57142857142856</v>
      </c>
    </row>
    <row r="22" spans="1:78">
      <c r="A22" s="391" t="str">
        <f>Criterios!A4</f>
        <v>Fecha Informe: 28 feb. 2025</v>
      </c>
    </row>
    <row r="27" spans="1:78">
      <c r="A27" s="414"/>
    </row>
  </sheetData>
  <sheetProtection algorithmName="SHA-512" hashValue="cuP6zpnK/yamjD9Fqc2g2A9q+smvJbMwZwS/nRfrMAZ9yPgfGLckSX7rkhAmGeWa6Py/38pRwMEB+PrJ8foPXw==" saltValue="tP6V0ZNBJPga887G4jAn8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TERRASSA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3769</v>
      </c>
      <c r="C9" s="434">
        <f>IF(ISNUMBER(Datos!Q9),Datos!Q9," - ")</f>
        <v>5833</v>
      </c>
      <c r="D9" s="408">
        <f>IF(ISNUMBER(Datos!R9),Datos!R9," - ")</f>
        <v>13264</v>
      </c>
    </row>
    <row r="10" spans="1:4">
      <c r="A10" s="402" t="str">
        <f>Datos!A10</f>
        <v>Jdos. Violencia contra la mujer</v>
      </c>
      <c r="B10" s="433">
        <f>IF(ISNUMBER(Datos!P10),Datos!P10," - ")</f>
        <v>25</v>
      </c>
      <c r="C10" s="434">
        <f>IF(ISNUMBER(Datos!Q10),Datos!Q10," - ")</f>
        <v>24</v>
      </c>
      <c r="D10" s="408">
        <f>IF(ISNUMBER(Datos!R10),Datos!R10," - ")</f>
        <v>250</v>
      </c>
    </row>
    <row r="11" spans="1:4">
      <c r="A11" s="402" t="str">
        <f>Datos!A11</f>
        <v xml:space="preserve">Jdos. Familia                                   </v>
      </c>
      <c r="B11" s="433">
        <f>IF(ISNUMBER(Datos!P11),Datos!P11," - ")</f>
        <v>241</v>
      </c>
      <c r="C11" s="434">
        <f>IF(ISNUMBER(Datos!Q11),Datos!Q11," - ")</f>
        <v>628</v>
      </c>
      <c r="D11" s="408">
        <f>IF(ISNUMBER(Datos!R11),Datos!R11," - ")</f>
        <v>415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4035</v>
      </c>
      <c r="C13" s="853">
        <f>SUBTOTAL(9,C9:C12)</f>
        <v>6485</v>
      </c>
      <c r="D13" s="851">
        <f>SUBTOTAL(9,D9:D12)</f>
        <v>13929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384</v>
      </c>
      <c r="C15" s="434">
        <f>IF(ISNUMBER(Datos!Q15),Datos!Q15," - ")</f>
        <v>401</v>
      </c>
      <c r="D15" s="408">
        <f>IF(ISNUMBER(Datos!R15),Datos!R15," - ")</f>
        <v>298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13</v>
      </c>
      <c r="C17" s="434">
        <f>IF(ISNUMBER(Datos!Q17),Datos!Q17," - ")</f>
        <v>9</v>
      </c>
      <c r="D17" s="408">
        <f>IF(ISNUMBER(Datos!R17),Datos!R17," - ")</f>
        <v>12</v>
      </c>
    </row>
    <row r="18" spans="1:4" ht="14.25" thickTop="1" thickBot="1">
      <c r="A18" s="848" t="str">
        <f>Datos!A18</f>
        <v>TOTAL</v>
      </c>
      <c r="B18" s="849">
        <f>SUBTOTAL(9,B15:B17)</f>
        <v>397</v>
      </c>
      <c r="C18" s="853">
        <f>SUBTOTAL(9,C15:C17)</f>
        <v>410</v>
      </c>
      <c r="D18" s="851">
        <f>SUBTOTAL(9,D15:D17)</f>
        <v>310</v>
      </c>
    </row>
    <row r="19" spans="1:4" ht="16.5" customHeight="1" thickTop="1" thickBot="1">
      <c r="A19" s="793" t="str">
        <f>Datos!A19</f>
        <v>TOTAL JURISDICCIONES</v>
      </c>
      <c r="B19" s="798">
        <f>SUBTOTAL(9,B8:B18)</f>
        <v>4432</v>
      </c>
      <c r="C19" s="799">
        <f>SUBTOTAL(9,C8:C18)</f>
        <v>6895</v>
      </c>
      <c r="D19" s="800">
        <f>SUBTOTAL(9,D8:D18)</f>
        <v>14239</v>
      </c>
    </row>
    <row r="20" spans="1:4" ht="7.5" customHeight="1"/>
    <row r="21" spans="1:4" ht="6" customHeight="1"/>
    <row r="22" spans="1:4">
      <c r="A22" s="391" t="str">
        <f>Criterios!A4</f>
        <v>Fecha Informe: 28 feb. 2025</v>
      </c>
    </row>
    <row r="27" spans="1:4">
      <c r="A27" s="414"/>
    </row>
  </sheetData>
  <sheetProtection algorithmName="SHA-512" hashValue="GfTyurPrsY/nrFouiRV/aiMKrx3Xp1UkkOR/OVzkenMfbUsNeBkBlM4p7e8K8lW185lERB3NRWBT4nFx3tAeyQ==" saltValue="eg0M6z/ZnN9DCnp18IU84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TERRASSA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0.2454054054054054</v>
      </c>
      <c r="C9" s="456">
        <f>IF(ISNUMBER(
   IF(J_V="SI",(Datos!J9-Datos!T9)/Datos!T9,(Datos!J9+Datos!Z9-(Datos!T9+Datos!AH9))/(Datos!T9+Datos!AH9))
     ),IF(J_V="SI",(Datos!J9-Datos!T9)/Datos!T9,(Datos!J9+Datos!Z9-(Datos!T9+Datos!AH9))/(Datos!T9+Datos!AH9))," - ")</f>
        <v>-5.6889156445180222E-2</v>
      </c>
      <c r="D9" s="456">
        <f>IF(ISNUMBER(
   IF(J_V="SI",(Datos!K9-Datos!U9)/Datos!U9,(Datos!K9+Datos!AA9-(Datos!U9+Datos!AI9))/(Datos!U9+Datos!AI9))
     ),IF(J_V="SI",(Datos!K9-Datos!U9)/Datos!U9,(Datos!K9+Datos!AA9-(Datos!U9+Datos!AI9))/(Datos!U9+Datos!AI9))," - ")</f>
        <v>0.18398840480859407</v>
      </c>
      <c r="E9" s="456">
        <f>IF(ISNUMBER(
   IF(J_V="SI",(Datos!L9-Datos!V9)/Datos!V9,(Datos!L9+Datos!AB9-(Datos!V9+Datos!AJ9))/(Datos!V9+Datos!AJ9))
     ),IF(J_V="SI",(Datos!L9-Datos!V9)/Datos!V9,(Datos!L9+Datos!AB9-(Datos!V9+Datos!AJ9))/(Datos!V9+Datos!AJ9))," - ")</f>
        <v>-0.16902281746031747</v>
      </c>
      <c r="F9" s="456">
        <f>IF(ISNUMBER((Datos!M9-Datos!W9)/Datos!W9),(Datos!M9-Datos!W9)/Datos!W9," - ")</f>
        <v>0.48110125991600561</v>
      </c>
      <c r="G9" s="457">
        <f>IF(ISNUMBER((Datos!N9-Datos!X9)/Datos!X9),(Datos!N9-Datos!X9)/Datos!X9," - ")</f>
        <v>3.399528778189162E-2</v>
      </c>
      <c r="H9" s="455">
        <f>IF(ISNUMBER(((NºAsuntos!G9/NºAsuntos!E9)-Datos!BD9)/Datos!BD9),((NºAsuntos!G9/NºAsuntos!E9)-Datos!BD9)/Datos!BD9," - ")</f>
        <v>0.2554074771803565</v>
      </c>
      <c r="I9" s="456">
        <f>IF(ISNUMBER(((NºAsuntos!I9/NºAsuntos!G9)-Datos!BE9)/Datos!BE9),((NºAsuntos!I9/NºAsuntos!G9)-Datos!BE9)/Datos!BE9," - ")</f>
        <v>-0.29815429005487598</v>
      </c>
      <c r="J9" s="461">
        <f>IF(ISNUMBER((('Resol  Asuntos'!D9/NºAsuntos!G9)-Datos!BF9)/Datos!BF9),(('Resol  Asuntos'!D9/NºAsuntos!G9)-Datos!BF9)/Datos!BF9," - ")</f>
        <v>-0.54884390833868324</v>
      </c>
      <c r="K9" s="462">
        <f>IF(ISNUMBER((((NºAsuntos!C9+NºAsuntos!E9)/NºAsuntos!G9)-Datos!BG9)/Datos!BG9),(((NºAsuntos!C9+NºAsuntos!E9)/NºAsuntos!G9)-Datos!BG9)/Datos!BG9," - ")</f>
        <v>-0.11979937103868714</v>
      </c>
    </row>
    <row r="10" spans="1:11">
      <c r="A10" s="402" t="str">
        <f>Datos!A10</f>
        <v>Jdos. Violencia contra la mujer</v>
      </c>
      <c r="B10" s="455">
        <f>IF(ISNUMBER((Datos!I10-Datos!S10)/Datos!S10),(Datos!I10-Datos!S10)/Datos!S10," - ")</f>
        <v>0.16923076923076924</v>
      </c>
      <c r="C10" s="456">
        <f>IF(ISNUMBER((Datos!J10-Datos!T10)/Datos!T10),(Datos!J10-Datos!T10)/Datos!T10," - ")</f>
        <v>7.3619631901840496E-2</v>
      </c>
      <c r="D10" s="456">
        <f>IF(ISNUMBER((Datos!K10-Datos!U10)/Datos!U10),(Datos!K10-Datos!U10)/Datos!U10," - ")</f>
        <v>0.15131578947368421</v>
      </c>
      <c r="E10" s="456">
        <f>IF(ISNUMBER((Datos!L10-Datos!V10)/Datos!V10),(Datos!L10-Datos!V10)/Datos!V10," - ")</f>
        <v>0</v>
      </c>
      <c r="F10" s="456">
        <f>IF(ISNUMBER((Datos!M10-Datos!W10)/Datos!W10),(Datos!M10-Datos!W10)/Datos!W10," - ")</f>
        <v>2.3255813953488372E-2</v>
      </c>
      <c r="G10" s="457">
        <f>IF(ISNUMBER((Datos!N10-Datos!X10)/Datos!X10),(Datos!N10-Datos!X10)/Datos!X10," - ")</f>
        <v>0.12162162162162163</v>
      </c>
      <c r="H10" s="455">
        <f>IF(ISNUMBER(((NºAsuntos!G10/NºAsuntos!E10)-Datos!BD10)/Datos!BD10),((NºAsuntos!G10/NºAsuntos!E10)-Datos!BD10)/Datos!BD10," - ")</f>
        <v>7.2368421052631637E-2</v>
      </c>
      <c r="I10" s="456">
        <f>IF(ISNUMBER(((NºAsuntos!I10/NºAsuntos!G10)-Datos!BE10)/Datos!BE10),((NºAsuntos!I10/NºAsuntos!G10)-Datos!BE10)/Datos!BE10," - ")</f>
        <v>-0.13142857142857145</v>
      </c>
      <c r="J10" s="461">
        <f>IF(ISNUMBER((('Resol  Asuntos'!D10/NºAsuntos!G10)-Datos!BF10)/Datos!BF10),(('Resol  Asuntos'!D10/NºAsuntos!G10)-Datos!BF10)/Datos!BF10," - ")</f>
        <v>-0.11122923588039858</v>
      </c>
      <c r="K10" s="462">
        <f>IF(ISNUMBER((((NºAsuntos!C10+NºAsuntos!E10)/NºAsuntos!G10)-Datos!BG10)/Datos!BG10),(((NºAsuntos!C10+NºAsuntos!E10)/NºAsuntos!G10)-Datos!BG10)/Datos!BG10," - ")</f>
        <v>-4.3809523809523743E-2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-0.2253731343283582</v>
      </c>
      <c r="C11" s="456">
        <f>IF(ISNUMBER(
   IF(J_V="SI",(Datos!J11-Datos!T11)/Datos!T11,(Datos!J11+Datos!Z11-(Datos!T11+Datos!AH11))/(Datos!T11+Datos!AH11))
     ),IF(J_V="SI",(Datos!J11-Datos!T11)/Datos!T11,(Datos!J11+Datos!Z11-(Datos!T11+Datos!AH11))/(Datos!T11+Datos!AH11))," - ")</f>
        <v>8.8050314465408799E-2</v>
      </c>
      <c r="D11" s="456">
        <f>IF(ISNUMBER(
   IF(J_V="SI",(Datos!K11-Datos!U11)/Datos!U11,(Datos!K11+Datos!AA11-(Datos!U11+Datos!AI11))/(Datos!U11+Datos!AI11))
     ),IF(J_V="SI",(Datos!K11-Datos!U11)/Datos!U11,(Datos!K11+Datos!AA11-(Datos!U11+Datos!AI11))/(Datos!U11+Datos!AI11))," - ")</f>
        <v>0.21720195971692977</v>
      </c>
      <c r="E11" s="456">
        <f>IF(ISNUMBER(
   IF(J_V="SI",(Datos!L11-Datos!V11)/Datos!V11,(Datos!L11+Datos!AB11-(Datos!V11+Datos!AJ11))/(Datos!V11+Datos!AJ11))
     ),IF(J_V="SI",(Datos!L11-Datos!V11)/Datos!V11,(Datos!L11+Datos!AB11-(Datos!V11+Datos!AJ11))/(Datos!V11+Datos!AJ11))," - ")</f>
        <v>5.8766859344894028E-2</v>
      </c>
      <c r="F11" s="456">
        <f>IF(ISNUMBER((Datos!M11-Datos!W11)/Datos!W11),(Datos!M11-Datos!W11)/Datos!W11," - ")</f>
        <v>0.28619528619528617</v>
      </c>
      <c r="G11" s="457">
        <f>IF(ISNUMBER((Datos!N11-Datos!X11)/Datos!X11),(Datos!N11-Datos!X11)/Datos!X11," - ")</f>
        <v>8.9463220675944338E-2</v>
      </c>
      <c r="H11" s="455">
        <f>IF(ISNUMBER(((NºAsuntos!G11/NºAsuntos!E11)-Datos!BD11)/Datos!BD11),((NºAsuntos!G11/NºAsuntos!E11)-Datos!BD11)/Datos!BD11," - ")</f>
        <v>0.1187000670230741</v>
      </c>
      <c r="I11" s="456">
        <f>IF(ISNUMBER(((NºAsuntos!I11/NºAsuntos!G11)-Datos!BE11)/Datos!BE11),((NºAsuntos!I11/NºAsuntos!G11)-Datos!BE11)/Datos!BE11," - ")</f>
        <v>-0.13016336287273231</v>
      </c>
      <c r="J11" s="461">
        <f>IF(ISNUMBER((('Resol  Asuntos'!D11/NºAsuntos!G11)-Datos!BF11)/Datos!BF11),(('Resol  Asuntos'!D11/NºAsuntos!G11)-Datos!BF11)/Datos!BF11," - ")</f>
        <v>-0.37607450111495611</v>
      </c>
      <c r="K11" s="462">
        <f>IF(ISNUMBER((((NºAsuntos!C11+NºAsuntos!E11)/NºAsuntos!G11)-Datos!BG11)/Datos!BG11),(((NºAsuntos!C11+NºAsuntos!E11)/NºAsuntos!G11)-Datos!BG11)/Datos!BG11," - ")</f>
        <v>-0.2073801806551071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0.16472081218274112</v>
      </c>
      <c r="C13" s="855">
        <f>IF(ISNUMBER(
   IF(J_V="SI",(Datos!J13-Datos!T13)/Datos!T13,(Datos!J13+Datos!Z13-(Datos!T13+Datos!AH13))/(Datos!T13+Datos!AH13))
     ),IF(J_V="SI",(Datos!J13-Datos!T13)/Datos!T13,(Datos!J13+Datos!Z13-(Datos!T13+Datos!AH13))/(Datos!T13+Datos!AH13))," - ")</f>
        <v>-3.6213673561440812E-2</v>
      </c>
      <c r="D13" s="855">
        <f>IF(ISNUMBER(
   IF(J_V="SI",(Datos!K13-Datos!U13)/Datos!U13,(Datos!K13+Datos!AA13-(Datos!U13+Datos!AI13))/(Datos!U13+Datos!AI13))
     ),IF(J_V="SI",(Datos!K13-Datos!U13)/Datos!U13,(Datos!K13+Datos!AA13-(Datos!U13+Datos!AI13))/(Datos!U13+Datos!AI13))," - ")</f>
        <v>0.1880740632745298</v>
      </c>
      <c r="E13" s="855">
        <f>IF(ISNUMBER(
   IF(J_V="SI",(Datos!L13-Datos!V13)/Datos!V13,(Datos!L13+Datos!AB13-(Datos!V13+Datos!AJ13))/(Datos!V13+Datos!AJ13))
     ),IF(J_V="SI",(Datos!L13-Datos!V13)/Datos!V13,(Datos!L13+Datos!AB13-(Datos!V13+Datos!AJ13))/(Datos!V13+Datos!AJ13))," - ")</f>
        <v>-0.1418609718893005</v>
      </c>
      <c r="F13" s="856">
        <f>IF(ISNUMBER((Datos!M13-Datos!W13)/Datos!W13),(Datos!M13-Datos!W13)/Datos!W13," - ")</f>
        <v>0.43237410071942445</v>
      </c>
      <c r="G13" s="857">
        <f>IF(ISNUMBER((Datos!N13-Datos!X13)/Datos!X13),(Datos!N13-Datos!X13)/Datos!X13," - ")</f>
        <v>4.2865280546852749E-2</v>
      </c>
      <c r="H13" s="857">
        <f>IF(ISNUMBER(((NºAsuntos!G13/NºAsuntos!E13)-Datos!BD13)/Datos!BD13),((NºAsuntos!G13/NºAsuntos!E13)-Datos!BD13)/Datos!BD13," - ")</f>
        <v>0.23271520946429283</v>
      </c>
      <c r="I13" s="857">
        <f>IF(ISNUMBER(((NºAsuntos!I13/NºAsuntos!G13)-Datos!BE13)/Datos!BE13),((NºAsuntos!I13/NºAsuntos!G13)-Datos!BE13)/Datos!BE13," - ")</f>
        <v>-0.27770578060973278</v>
      </c>
      <c r="J13" s="857">
        <f>IF(ISNUMBER((('Resol  Asuntos'!D13/NºAsuntos!G13)-Datos!BF13)/Datos!BF13),(('Resol  Asuntos'!D13/NºAsuntos!G13)-Datos!BF13)/Datos!BF13," - ")</f>
        <v>-0.52057747089551654</v>
      </c>
      <c r="K13" s="857">
        <f>IF(ISNUMBER((((NºAsuntos!C13+NºAsuntos!E13)/NºAsuntos!G13)-Datos!BG13)/Datos!BG13),(((NºAsuntos!C13+NºAsuntos!E13)/NºAsuntos!G13)-Datos!BG13)/Datos!BG13," - ")</f>
        <v>-0.13182656911766083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0.54059945504087192</v>
      </c>
      <c r="C15" s="456">
        <f>IF(ISNUMBER(
   IF(D_I="SI",(Datos!J15-Datos!T15)/Datos!T15,(Datos!J15+Datos!AD15-(Datos!T15+Datos!AL15))/(Datos!T15+Datos!AL15))
     ),IF(D_I="SI",(Datos!J15-Datos!T15)/Datos!T15,(Datos!J15+Datos!AD15-(Datos!T15+Datos!AL15))/(Datos!T15+Datos!AL15))," - ")</f>
        <v>0.10616475722858701</v>
      </c>
      <c r="D15" s="456">
        <f>IF(ISNUMBER(
   IF(D_I="SI",(Datos!K15-Datos!U15)/Datos!U15,(Datos!K15+Datos!AE15-(Datos!U15+Datos!AM15))/(Datos!U15+Datos!AM15))
     ),IF(D_I="SI",(Datos!K15-Datos!U15)/Datos!U15,(Datos!K15+Datos!AE15-(Datos!U15+Datos!AM15))/(Datos!U15+Datos!AM15))," - ")</f>
        <v>0.23111963557899784</v>
      </c>
      <c r="E15" s="456">
        <f>IF(ISNUMBER(
   IF(D_I="SI",(Datos!L15-Datos!V15)/Datos!V15,(Datos!L15+Datos!AF15-(Datos!V15+Datos!AN15))/(Datos!V15+Datos!AN15))
     ),IF(D_I="SI",(Datos!L15-Datos!V15)/Datos!V15,(Datos!L15+Datos!AF15-(Datos!V15+Datos!AN15))/(Datos!V15+Datos!AN15))," - ")</f>
        <v>2.9713477184294304E-2</v>
      </c>
      <c r="F15" s="456">
        <f>IF(ISNUMBER((Datos!M15-Datos!W15)/Datos!W15),(Datos!M15-Datos!W15)/Datos!W15," - ")</f>
        <v>0.14614121510673234</v>
      </c>
      <c r="G15" s="457">
        <f>IF(ISNUMBER((Datos!N15-Datos!X15)/Datos!X15),(Datos!N15-Datos!X15)/Datos!X15," - ")</f>
        <v>0.32532615448332985</v>
      </c>
      <c r="H15" s="455">
        <f>IF(ISNUMBER(((NºAsuntos!G15/NºAsuntos!E15)-Datos!BD15)/Datos!BD15),((NºAsuntos!G15/NºAsuntos!E15)-Datos!BD15)/Datos!BD15," - ")</f>
        <v>0.11296226672731464</v>
      </c>
      <c r="I15" s="456">
        <f>IF(ISNUMBER(((NºAsuntos!I15/NºAsuntos!G15)-Datos!BE15)/Datos!BE15),((NºAsuntos!I15/NºAsuntos!G15)-Datos!BE15)/Datos!BE15," - ")</f>
        <v>-0.16359592729587308</v>
      </c>
      <c r="J15" s="461">
        <f>IF(ISNUMBER((('Resol  Asuntos'!D15/NºAsuntos!G15)-Datos!BF15)/Datos!BF15),(('Resol  Asuntos'!D15/NºAsuntos!G15)-Datos!BF15)/Datos!BF15," - ")</f>
        <v>-6.9025314856829584E-2</v>
      </c>
      <c r="K15" s="462">
        <f>IF(ISNUMBER((((NºAsuntos!C15+NºAsuntos!E15)/NºAsuntos!G15)-Datos!BG15)/Datos!BG15),(((NºAsuntos!C15+NºAsuntos!E15)/NºAsuntos!G15)-Datos!BG15)/Datos!BG15," - ")</f>
        <v>-4.2630521377356803E-2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-0.25380710659898476</v>
      </c>
      <c r="C17" s="456">
        <f>IF(ISNUMBER(
   IF(D_I="SI",(Datos!J17-Datos!T17)/Datos!T17,(Datos!J17+Datos!AD17-(Datos!T17+Datos!AL17))/(Datos!T17+Datos!AL17))
     ),IF(D_I="SI",(Datos!J17-Datos!T17)/Datos!T17,(Datos!J17+Datos!AD17-(Datos!T17+Datos!AL17))/(Datos!T17+Datos!AL17))," - ")</f>
        <v>0.13267326732673268</v>
      </c>
      <c r="D17" s="456">
        <f>IF(ISNUMBER(
   IF(D_I="SI",(Datos!K17-Datos!U17)/Datos!U17,(Datos!K17+Datos!AE17-(Datos!U17+Datos!AM17))/(Datos!U17+Datos!AM17))
     ),IF(D_I="SI",(Datos!K17-Datos!U17)/Datos!U17,(Datos!K17+Datos!AE17-(Datos!U17+Datos!AM17))/(Datos!U17+Datos!AM17))," - ")</f>
        <v>3.962264150943396E-2</v>
      </c>
      <c r="E17" s="456">
        <f>IF(ISNUMBER(
   IF(D_I="SI",(Datos!L17-Datos!V17)/Datos!V17,(Datos!L17+Datos!AF17-(Datos!V17+Datos!AN17))/(Datos!V17+Datos!AN17))
     ),IF(D_I="SI",(Datos!L17-Datos!V17)/Datos!V17,(Datos!L17+Datos!AF17-(Datos!V17+Datos!AN17))/(Datos!V17+Datos!AN17))," - ")</f>
        <v>0.2857142857142857</v>
      </c>
      <c r="F17" s="456">
        <f>IF(ISNUMBER((Datos!M17-Datos!W17)/Datos!W17),(Datos!M17-Datos!W17)/Datos!W17," - ")</f>
        <v>0.41304347826086957</v>
      </c>
      <c r="G17" s="457">
        <f>IF(ISNUMBER((Datos!N17-Datos!X17)/Datos!X17),(Datos!N17-Datos!X17)/Datos!X17," - ")</f>
        <v>8.6474501108647447E-2</v>
      </c>
      <c r="H17" s="455">
        <f>IF(ISNUMBER(((NºAsuntos!G17/NºAsuntos!E17)-Datos!BD17)/Datos!BD17),((NºAsuntos!G17/NºAsuntos!E17)-Datos!BD17)/Datos!BD17," - ")</f>
        <v>-8.2151339226810921E-2</v>
      </c>
      <c r="I17" s="456">
        <f>IF(ISNUMBER(((NºAsuntos!I17/NºAsuntos!G17)-Datos!BE17)/Datos!BE17),((NºAsuntos!I17/NºAsuntos!G17)-Datos!BE17)/Datos!BE17," - ")</f>
        <v>0.23671247083225314</v>
      </c>
      <c r="J17" s="461">
        <f>IF(ISNUMBER((('Resol  Asuntos'!D17/NºAsuntos!G17)-Datos!BF17)/Datos!BF17),(('Resol  Asuntos'!D17/NºAsuntos!G17)-Datos!BF17)/Datos!BF17," - ")</f>
        <v>0.35918882663931206</v>
      </c>
      <c r="K17" s="462">
        <f>IF(ISNUMBER((((NºAsuntos!C17+NºAsuntos!E17)/NºAsuntos!G17)-Datos!BG17)/Datos!BG17),(((NºAsuntos!C17+NºAsuntos!E17)/NºAsuntos!G17)-Datos!BG17)/Datos!BG17," - ")</f>
        <v>2.8829107880978658E-2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0.46358267716535434</v>
      </c>
      <c r="C18" s="855">
        <f>IF(ISNUMBER(
   IF(Criterios!B14="SI",(Datos!J18-Datos!T18)/Datos!T18,(Datos!J18+Datos!AD18-(Datos!T18+Datos!AL18))/(Datos!T18+Datos!AL18))
     ),IF(Criterios!B14="SI",(Datos!J18-Datos!T18)/Datos!T18,(Datos!J18+Datos!AD18-(Datos!T18+Datos!AL18))/(Datos!T18+Datos!AL18))," - ")</f>
        <v>0.10879606879606879</v>
      </c>
      <c r="D18" s="855">
        <f>IF(ISNUMBER(
   IF(Criterios!B14="SI",(Datos!K18-Datos!U18)/Datos!U18,(Datos!K18+Datos!AE18-(Datos!U18+Datos!AM18))/(Datos!U18+Datos!AM18))
     ),IF(Criterios!B14="SI",(Datos!K18-Datos!U18)/Datos!U18,(Datos!K18+Datos!AE18-(Datos!U18+Datos!AM18))/(Datos!U18+Datos!AM18))," - ")</f>
        <v>0.20952988725803021</v>
      </c>
      <c r="E18" s="855">
        <f>IF(ISNUMBER(
   IF(Criterios!B14="SI",(Datos!L18-Datos!V18)/Datos!V18,(Datos!L18+Datos!AF18-(Datos!V18+Datos!AN18))/(Datos!V18+Datos!AN18))
     ),IF(Criterios!B14="SI",(Datos!L18-Datos!V18)/Datos!V18,(Datos!L18+Datos!AF18-(Datos!V18+Datos!AN18))/(Datos!V18+Datos!AN18))," - ")</f>
        <v>4.2367182246133152E-2</v>
      </c>
      <c r="F18" s="856">
        <f>IF(ISNUMBER((Datos!M18-Datos!W18)/Datos!W18),(Datos!M18-Datos!W18)/Datos!W18," - ")</f>
        <v>0.16488549618320611</v>
      </c>
      <c r="G18" s="857">
        <f>IF(ISNUMBER((Datos!N18-Datos!X18)/Datos!X18),(Datos!N18-Datos!X18)/Datos!X18," - ")</f>
        <v>0.30492424242424243</v>
      </c>
      <c r="H18" s="857">
        <f>IF(ISNUMBER(((NºAsuntos!G18/NºAsuntos!E18)-Datos!BD18)/Datos!BD18),((NºAsuntos!G18/NºAsuntos!E18)-Datos!BD18)/Datos!BD18," - ")</f>
        <v>9.0849725478679103E-2</v>
      </c>
      <c r="I18" s="857">
        <f>IF(ISNUMBER(((NºAsuntos!I18/NºAsuntos!G18)-Datos!BE18)/Datos!BE18),((NºAsuntos!I18/NºAsuntos!G18)-Datos!BE18)/Datos!BE18," - ")</f>
        <v>-0.1382046915689287</v>
      </c>
      <c r="J18" s="857">
        <f>IF(ISNUMBER((('Resol  Asuntos'!D18/NºAsuntos!G18)-Datos!BF18)/Datos!BF18),(('Resol  Asuntos'!D18/NºAsuntos!G18)-Datos!BF18)/Datos!BF18," - ")</f>
        <v>-3.6910531558696558E-2</v>
      </c>
      <c r="K18" s="857">
        <f>IF(ISNUMBER((((NºAsuntos!C18+NºAsuntos!E18)/NºAsuntos!G18)-Datos!BG18)/Datos!BG18),(((NºAsuntos!C18+NºAsuntos!E18)/NºAsuntos!G18)-Datos!BG18)/Datos!BG18," - ")</f>
        <v>-3.4455847672323604E-2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0.22598870056497175</v>
      </c>
      <c r="C19" s="802">
        <f>IF(ISNUMBER(
   IF(J_V="SI",(Datos!J19-Datos!T19)/Datos!T19,(Datos!J19+Datos!Z19-(Datos!T19+Datos!AH19))/(Datos!T19+Datos!AH19))
     ),IF(J_V="SI",(Datos!J19-Datos!T19)/Datos!T19,(Datos!J19+Datos!Z19-(Datos!T19+Datos!AH19))/(Datos!T19+Datos!AH19))," - ")</f>
        <v>2.1211177706857633E-2</v>
      </c>
      <c r="D19" s="802">
        <f>IF(ISNUMBER(
   IF(J_V="SI",(Datos!K19-Datos!U19)/Datos!U19,(Datos!K19+Datos!AA19-(Datos!U19+Datos!AI19))/(Datos!U19+Datos!AI19))
     ),IF(J_V="SI",(Datos!K19-Datos!U19)/Datos!U19,(Datos!K19+Datos!AA19-(Datos!U19+Datos!AI19))/(Datos!U19+Datos!AI19))," - ")</f>
        <v>0.1967993079584775</v>
      </c>
      <c r="E19" s="802">
        <f>IF(ISNUMBER(
   IF(J_V="SI",(Datos!L19-Datos!V19)/Datos!V19,(Datos!L19+Datos!AB19-(Datos!V19+Datos!AJ19))/(Datos!V19+Datos!AJ19))
     ),IF(J_V="SI",(Datos!L19-Datos!V19)/Datos!V19,(Datos!L19+Datos!AB19-(Datos!V19+Datos!AJ19))/(Datos!V19+Datos!AJ19))," - ")</f>
        <v>-9.6774193548387094E-2</v>
      </c>
      <c r="F19" s="803">
        <f>IF(ISNUMBER((Datos!M19-Datos!W19)/Datos!W19),(Datos!M19-Datos!W19)/Datos!W19," - ")</f>
        <v>0.3466992665036675</v>
      </c>
      <c r="G19" s="804">
        <f>IF(ISNUMBER((Datos!N19-Datos!X19)/Datos!X19),(Datos!N19-Datos!X19)/Datos!X19," - ")</f>
        <v>0.15534059502519915</v>
      </c>
      <c r="H19" s="805">
        <f>IF(ISNUMBER((Tasas!B19-Datos!BD19)/Datos!BD19),(Tasas!B19-Datos!BD19)/Datos!BD19," - ")</f>
        <v>0.17194105791703643</v>
      </c>
      <c r="I19" s="806">
        <f>IF(ISNUMBER((Tasas!C19-Datos!BE19)/Datos!BE19),(Tasas!C19-Datos!BE19)/Datos!BE19," - ")</f>
        <v>-0.2452988563367802</v>
      </c>
      <c r="J19" s="807">
        <f>IF(ISNUMBER((Tasas!D19-Datos!BF19)/Datos!BF19),(Tasas!D19-Datos!BF19)/Datos!BF19," - ")</f>
        <v>-0.44557578743435627</v>
      </c>
      <c r="K19" s="807">
        <f>IF(ISNUMBER((Tasas!E19-Datos!BG19)/Datos!BG19),(Tasas!E19-Datos!BG19)/Datos!BG19," - ")</f>
        <v>-9.9082739067237066E-2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iDQAaKzuegitasTOzheydR76FP1Qz1nDREzNBWmyZIWqFBtk3Yi1zmiyUbaBsi6eHAG2ccEcMEEirYAjqa3MA==" saltValue="5ZyXpMimQusAIbNFGLq5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TERRASSA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1.1080347881592596</v>
      </c>
      <c r="C9" s="443">
        <f>IF(ISNUMBER(NºAsuntos!I9/NºAsuntos!G9),NºAsuntos!I9/NºAsuntos!G9," - ")</f>
        <v>0.48253762511701592</v>
      </c>
      <c r="D9" s="444">
        <f>IF(ISNUMBER('Resol  Asuntos'!D9/NºAsuntos!G9),'Resol  Asuntos'!D9/NºAsuntos!G9," - ")</f>
        <v>0.22855908403542882</v>
      </c>
      <c r="E9" s="445">
        <f>IF(ISNUMBER((NºAsuntos!C9+NºAsuntos!E9)/NºAsuntos!G9),(NºAsuntos!C9+NºAsuntos!E9)/NºAsuntos!G9," - ")</f>
        <v>1.483185713257003</v>
      </c>
      <c r="G9" s="463"/>
    </row>
    <row r="10" spans="1:7">
      <c r="A10" s="402" t="str">
        <f>Datos!A10</f>
        <v>Jdos. Violencia contra la mujer</v>
      </c>
      <c r="B10" s="442">
        <f>IF(ISNUMBER(NºAsuntos!G10/NºAsuntos!E10),NºAsuntos!G10/NºAsuntos!E10," - ")</f>
        <v>1</v>
      </c>
      <c r="C10" s="443">
        <f>IF(ISNUMBER(NºAsuntos!I10/NºAsuntos!G10),NºAsuntos!I10/NºAsuntos!G10," - ")</f>
        <v>0.43428571428571427</v>
      </c>
      <c r="D10" s="444">
        <f>IF(ISNUMBER('Resol  Asuntos'!D10/NºAsuntos!G10),'Resol  Asuntos'!D10/NºAsuntos!G10," - ")</f>
        <v>0.25142857142857145</v>
      </c>
      <c r="E10" s="445">
        <f>IF(ISNUMBER((NºAsuntos!C10+NºAsuntos!E10)/NºAsuntos!G10),(NºAsuntos!C10+NºAsuntos!E10)/NºAsuntos!G10," - ")</f>
        <v>1.4342857142857144</v>
      </c>
      <c r="G10" s="463"/>
    </row>
    <row r="11" spans="1:7">
      <c r="A11" s="402" t="str">
        <f>Datos!A11</f>
        <v xml:space="preserve">Jdos. Familia                                   </v>
      </c>
      <c r="B11" s="442">
        <f>IF(ISNUMBER(NºAsuntos!G11/NºAsuntos!E11),NºAsuntos!G11/NºAsuntos!E11," - ")</f>
        <v>0.9942196531791907</v>
      </c>
      <c r="C11" s="443">
        <f>IF(ISNUMBER(NºAsuntos!I11/NºAsuntos!G11),NºAsuntos!I11/NºAsuntos!G11," - ")</f>
        <v>0.49150268336314851</v>
      </c>
      <c r="D11" s="444">
        <f>IF(ISNUMBER('Resol  Asuntos'!D11/NºAsuntos!G11),'Resol  Asuntos'!D11/NºAsuntos!G11," - ")</f>
        <v>0.34168157423971379</v>
      </c>
      <c r="E11" s="445">
        <f>IF(ISNUMBER((NºAsuntos!C11+NºAsuntos!E11)/NºAsuntos!G11),(NºAsuntos!C11+NºAsuntos!E11)/NºAsuntos!G11," - ")</f>
        <v>1.4700357781753131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1.0896570167814401</v>
      </c>
      <c r="C13" s="859">
        <f>IF(ISNUMBER(NºAsuntos!I13/NºAsuntos!G13),NºAsuntos!I13/NºAsuntos!G13," - ")</f>
        <v>0.48324947846361516</v>
      </c>
      <c r="D13" s="860">
        <f>IF(ISNUMBER('Resol  Asuntos'!D13/NºAsuntos!G13),'Resol  Asuntos'!D13/NºAsuntos!G13," - ")</f>
        <v>0.24432445698858757</v>
      </c>
      <c r="E13" s="861">
        <f>IF(ISNUMBER((NºAsuntos!C13+NºAsuntos!E13)/NºAsuntos!G13),(NºAsuntos!C13+NºAsuntos!E13)/NºAsuntos!G13," - ")</f>
        <v>1.4808565468155601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1.0130203195896628</v>
      </c>
      <c r="C15" s="443">
        <f>IF(ISNUMBER(NºAsuntos!I15/NºAsuntos!G15),NºAsuntos!I15/NºAsuntos!G15," - ")</f>
        <v>0.28344693281402145</v>
      </c>
      <c r="D15" s="444">
        <f>IF(ISNUMBER('Resol  Asuntos'!D15/NºAsuntos!G15),'Resol  Asuntos'!D15/NºAsuntos!G15," - ")</f>
        <v>0.1359298928919182</v>
      </c>
      <c r="E15" s="445">
        <f>IF(ISNUMBER((NºAsuntos!C15+NºAsuntos!E15)/NºAsuntos!G15),(NºAsuntos!C15+NºAsuntos!E15)/NºAsuntos!G15," - ")</f>
        <v>1.2624148003894839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0.96328671328671334</v>
      </c>
      <c r="C17" s="443">
        <f>IF(ISNUMBER(NºAsuntos!I17/NºAsuntos!G17),NºAsuntos!I17/NºAsuntos!G17," - ")</f>
        <v>0.17150635208711434</v>
      </c>
      <c r="D17" s="444">
        <f>IF(ISNUMBER('Resol  Asuntos'!D17/NºAsuntos!G17),'Resol  Asuntos'!D17/NºAsuntos!G17," - ")</f>
        <v>0.11796733212341198</v>
      </c>
      <c r="E17" s="445">
        <f>IF(ISNUMBER((NºAsuntos!C17+NºAsuntos!E17)/NºAsuntos!G17),(NºAsuntos!C17+NºAsuntos!E17)/NºAsuntos!G17," - ")</f>
        <v>1.1715063520871143</v>
      </c>
      <c r="G17" s="463"/>
    </row>
    <row r="18" spans="1:7" ht="14.25" thickTop="1" thickBot="1">
      <c r="A18" s="848" t="str">
        <f>Datos!A18</f>
        <v>TOTAL</v>
      </c>
      <c r="B18" s="858">
        <f>IF(ISNUMBER(NºAsuntos!G18/NºAsuntos!E18),NºAsuntos!G18/NºAsuntos!E18," - ")</f>
        <v>1.0079773089877682</v>
      </c>
      <c r="C18" s="859">
        <f>IF(ISNUMBER(NºAsuntos!I18/NºAsuntos!G18),NºAsuntos!I18/NºAsuntos!G18," - ")</f>
        <v>0.27259936686598663</v>
      </c>
      <c r="D18" s="862">
        <f>IF(ISNUMBER('Resol  Asuntos'!D18/NºAsuntos!G18),'Resol  Asuntos'!D18/NºAsuntos!G18," - ")</f>
        <v>0.13418923672177277</v>
      </c>
      <c r="E18" s="861">
        <f>IF(ISNUMBER((NºAsuntos!C18+NºAsuntos!E18)/NºAsuntos!G18),(NºAsuntos!C18+NºAsuntos!E18)/NºAsuntos!G18," - ")</f>
        <v>1.2536053464650017</v>
      </c>
      <c r="G18" s="463"/>
    </row>
    <row r="19" spans="1:7" ht="15.75" customHeight="1" thickTop="1" thickBot="1">
      <c r="A19" s="793" t="str">
        <f>Datos!A19</f>
        <v>TOTAL JURISDICCIONES</v>
      </c>
      <c r="B19" s="808">
        <f>IF(ISNUMBER(NºAsuntos!G19/NºAsuntos!E19),NºAsuntos!G19/NºAsuntos!E19," - ")</f>
        <v>1.0545371393726894</v>
      </c>
      <c r="C19" s="809">
        <f>IF(ISNUMBER(NºAsuntos!I19/NºAsuntos!G19),NºAsuntos!I19/NºAsuntos!G19," - ")</f>
        <v>0.39667509938561618</v>
      </c>
      <c r="D19" s="810">
        <f>IF(ISNUMBER('Resol  Asuntos'!D19/NºAsuntos!G19),'Resol  Asuntos'!D19/NºAsuntos!G19," - ")</f>
        <v>0.19906035417419587</v>
      </c>
      <c r="E19" s="811">
        <f>IF(ISNUMBER((NºAsuntos!C19+NºAsuntos!E19)/NºAsuntos!G19),(NºAsuntos!C19+NºAsuntos!E19)/NºAsuntos!G19," - ")</f>
        <v>1.387459342247922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JWzCh+43o8dCU65F5/esFB0BjnqWMl2Ojs/AbNU7L1+esMJMN/NX5bayv7ZbE68vtorw1w0DqtgJtlHfuv6lQ==" saltValue="TK7yBN8C2cVV+TNhNOqtT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TERRASSA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3769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5833</v>
      </c>
      <c r="Y9" s="334">
        <f>SUM(W9:X9)</f>
        <v>5833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13264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3174</v>
      </c>
      <c r="AJ9" s="229" t="str">
        <f>IF(ISNUMBER(Datos!BW9),Datos!BW9," - ")</f>
        <v xml:space="preserve"> - </v>
      </c>
      <c r="AK9" s="228" t="str">
        <f>IF(ISNUMBER(Datos!BX9),Datos!BX9," - ")</f>
        <v xml:space="preserve"> - </v>
      </c>
      <c r="AL9" s="243">
        <f>IF(ISNUMBER(NºAsuntos!G9/NºAsuntos!E9),NºAsuntos!G9/NºAsuntos!E9," - ")</f>
        <v>1.1080347881592596</v>
      </c>
      <c r="AM9" s="260">
        <f>IF(ISNUMBER(((NºAsuntos!I9/NºAsuntos!G9)*11)/factor_trimestre),((NºAsuntos!I9/NºAsuntos!G9)*11)/factor_trimestre," - ")</f>
        <v>5.3079138762871754</v>
      </c>
      <c r="AN9" s="244">
        <f>IF(ISNUMBER('Resol  Asuntos'!D9/NºAsuntos!G9),'Resol  Asuntos'!D9/NºAsuntos!G9," - ")</f>
        <v>0.22855908403542882</v>
      </c>
      <c r="AO9" s="245">
        <f>IF(ISNUMBER((NºAsuntos!C9+NºAsuntos!E9)/NºAsuntos!G9),(NºAsuntos!C9+NºAsuntos!E9)/NºAsuntos!G9," - ")</f>
        <v>1.483185713257003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76</v>
      </c>
      <c r="G10" s="333">
        <f>IF(ISNUMBER(Datos!I10),Datos!I10," - ")</f>
        <v>76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175</v>
      </c>
      <c r="X10" s="226">
        <f>IF(ISNUMBER(Datos!Q10),Datos!Q10," - ")</f>
        <v>24</v>
      </c>
      <c r="Y10" s="334">
        <f t="shared" ref="Y10:Y12" si="0">SUM(W10:X10)</f>
        <v>199</v>
      </c>
      <c r="Z10" s="335" t="str">
        <f>IF(ISNUMBER(Datos!CC10),Datos!CC10," - ")</f>
        <v xml:space="preserve"> - </v>
      </c>
      <c r="AA10" s="332">
        <f>IF(ISNUMBER(Datos!L10),Datos!L10,"-")</f>
        <v>76</v>
      </c>
      <c r="AB10" s="334">
        <f>IF(ISNUMBER(Datos!R10),Datos!R10," - ")</f>
        <v>250</v>
      </c>
      <c r="AC10" s="334">
        <f t="shared" ref="AC10:AC12" si="1">IF(ISNUMBER(AA10+AB10),AA10+AB10," - ")</f>
        <v>326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4.7771428571428567</v>
      </c>
      <c r="AN10" s="244">
        <f>IF(ISNUMBER('Resol  Asuntos'!D10/NºAsuntos!G10),'Resol  Asuntos'!D10/NºAsuntos!G10," - ")</f>
        <v>0.25142857142857145</v>
      </c>
      <c r="AO10" s="245">
        <f>IF(ISNUMBER((NºAsuntos!C10+NºAsuntos!E10)/NºAsuntos!G10),(NºAsuntos!C10+NºAsuntos!E10)/NºAsuntos!G10," - ")</f>
        <v>1.4342857142857144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241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628</v>
      </c>
      <c r="Y11" s="334">
        <f t="shared" si="0"/>
        <v>628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415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764</v>
      </c>
      <c r="AJ11" s="231" t="str">
        <f>IF(ISNUMBER(Datos!BW11),Datos!BW11," - ")</f>
        <v xml:space="preserve"> - </v>
      </c>
      <c r="AK11" s="232" t="str">
        <f>IF(ISNUMBER(Datos!BX11),Datos!BX11," - ")</f>
        <v xml:space="preserve"> - </v>
      </c>
      <c r="AL11" s="243">
        <f>IF(ISNUMBER(NºAsuntos!G11/NºAsuntos!E11),NºAsuntos!G11/NºAsuntos!E11," - ")</f>
        <v>0.9942196531791907</v>
      </c>
      <c r="AM11" s="260">
        <f>IF(ISNUMBER(((NºAsuntos!I11/NºAsuntos!G11)*11)/factor_trimestre),((NºAsuntos!I11/NºAsuntos!G11)*11)/factor_trimestre," - ")</f>
        <v>5.4065295169946337</v>
      </c>
      <c r="AN11" s="244">
        <f>IF(ISNUMBER('Resol  Asuntos'!D11/NºAsuntos!G11),'Resol  Asuntos'!D11/NºAsuntos!G11," - ")</f>
        <v>0.34168157423971379</v>
      </c>
      <c r="AO11" s="245">
        <f>IF(ISNUMBER((NºAsuntos!C11+NºAsuntos!E11)/NºAsuntos!G11),(NºAsuntos!C11+NºAsuntos!E11)/NºAsuntos!G11," - ")</f>
        <v>1.4700357781753131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76</v>
      </c>
      <c r="G13" s="866">
        <f t="shared" si="3"/>
        <v>76</v>
      </c>
      <c r="H13" s="865">
        <f t="shared" si="3"/>
        <v>0</v>
      </c>
      <c r="I13" s="867">
        <f t="shared" si="3"/>
        <v>0</v>
      </c>
      <c r="J13" s="867">
        <f t="shared" si="3"/>
        <v>0</v>
      </c>
      <c r="K13" s="867">
        <f t="shared" si="3"/>
        <v>0</v>
      </c>
      <c r="L13" s="867">
        <f t="shared" si="3"/>
        <v>4035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175</v>
      </c>
      <c r="X13" s="867">
        <f t="shared" si="4"/>
        <v>6485</v>
      </c>
      <c r="Y13" s="868">
        <f t="shared" si="4"/>
        <v>6660</v>
      </c>
      <c r="Z13" s="868">
        <f t="shared" si="4"/>
        <v>0</v>
      </c>
      <c r="AA13" s="868">
        <f t="shared" si="4"/>
        <v>76</v>
      </c>
      <c r="AB13" s="868">
        <f t="shared" si="4"/>
        <v>13929</v>
      </c>
      <c r="AC13" s="868">
        <f t="shared" si="4"/>
        <v>326</v>
      </c>
      <c r="AD13" s="868">
        <f t="shared" si="4"/>
        <v>0</v>
      </c>
      <c r="AE13" s="872">
        <f t="shared" si="4"/>
        <v>0</v>
      </c>
      <c r="AF13" s="865">
        <f t="shared" si="4"/>
        <v>0</v>
      </c>
      <c r="AG13" s="873">
        <f t="shared" si="4"/>
        <v>0</v>
      </c>
      <c r="AH13" s="870">
        <f t="shared" si="4"/>
        <v>0</v>
      </c>
      <c r="AI13" s="865">
        <f t="shared" si="4"/>
        <v>3982</v>
      </c>
      <c r="AJ13" s="867">
        <f t="shared" si="4"/>
        <v>0</v>
      </c>
      <c r="AK13" s="870">
        <f>SUBTOTAL(9,AK9:AK12)</f>
        <v>0</v>
      </c>
      <c r="AL13" s="874">
        <f>IF(ISNUMBER(NºAsuntos!G13/NºAsuntos!E13),NºAsuntos!G13/NºAsuntos!E13," - ")</f>
        <v>1.0896570167814401</v>
      </c>
      <c r="AM13" s="874">
        <f>IF(ISNUMBER(((NºAsuntos!I13/NºAsuntos!G13)*11)/factor_trimestre),((NºAsuntos!I13/NºAsuntos!G13)*11)/factor_trimestre," - ")</f>
        <v>5.3157442630997664</v>
      </c>
      <c r="AN13" s="875">
        <f>IF(ISNUMBER('Resol  Asuntos'!D13/NºAsuntos!G13),'Resol  Asuntos'!D13/NºAsuntos!G13," - ")</f>
        <v>0.24432445698858757</v>
      </c>
      <c r="AO13" s="876">
        <f>IF(ISNUMBER((NºAsuntos!C13+NºAsuntos!E13)/NºAsuntos!G13),(NºAsuntos!C13+NºAsuntos!E13)/NºAsuntos!G13," - ")</f>
        <v>1.4808565468155601</v>
      </c>
      <c r="AP13" s="877" t="str">
        <f t="shared" si="2"/>
        <v xml:space="preserve"> - </v>
      </c>
      <c r="AQ13" s="877">
        <f>IF(ISNUMBER((H13-W13+K13)/(F13)),(H13-W13+K13)/(F13)," - ")</f>
        <v>-2.3026315789473686</v>
      </c>
      <c r="AR13" s="878">
        <f>IF(ISNUMBER((Datos!P13-Datos!Q13)/(Datos!R13-Datos!P13+Datos!Q13)),(Datos!P13-Datos!Q13)/(Datos!R13-Datos!P13+Datos!Q13)," - ")</f>
        <v>-0.14958178154954516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3043</v>
      </c>
      <c r="G15" s="333">
        <f>IF(ISNUMBER(IF(D_I="SI",Datos!I15,Datos!I15+Datos!AC15)),IF(D_I="SI",Datos!I15,Datos!I15+Datos!AC15)," - ")</f>
        <v>2827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384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10270</v>
      </c>
      <c r="X15" s="226">
        <f>IF(ISNUMBER(Datos!Q15),Datos!Q15," - ")</f>
        <v>401</v>
      </c>
      <c r="Y15" s="334">
        <f>SUM(W15)</f>
        <v>10270</v>
      </c>
      <c r="Z15" s="335" t="str">
        <f>IF(ISNUMBER(Datos!CC15),Datos!CC15," - ")</f>
        <v xml:space="preserve"> - </v>
      </c>
      <c r="AA15" s="332">
        <f>IF(ISNUMBER(IF(D_I="SI",Datos!L15,Datos!L15+Datos!AF15)),IF(D_I="SI",Datos!L15,Datos!L15+Datos!AF15)," - ")</f>
        <v>2911</v>
      </c>
      <c r="AB15" s="334">
        <f>IF(ISNUMBER(Datos!R15),Datos!R15," - ")</f>
        <v>298</v>
      </c>
      <c r="AC15" s="334">
        <f t="shared" ref="AC15:AC17" si="6">IF(ISNUMBER(AA15+AB15),AA15+AB15," - ")</f>
        <v>3209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1396</v>
      </c>
      <c r="AJ15" s="231" t="str">
        <f>IF(ISNUMBER(Datos!BW15),Datos!BW15," - ")</f>
        <v xml:space="preserve"> - </v>
      </c>
      <c r="AK15" s="232" t="str">
        <f>IF(ISNUMBER(Datos!BX15),Datos!BX15," - ")</f>
        <v xml:space="preserve"> - </v>
      </c>
      <c r="AL15" s="243">
        <f>IF(ISNUMBER(NºAsuntos!G15/NºAsuntos!E15),NºAsuntos!G15/NºAsuntos!E15," - ")</f>
        <v>1.0130203195896628</v>
      </c>
      <c r="AM15" s="260">
        <f>IF(ISNUMBER(((NºAsuntos!I15/NºAsuntos!G15)*11)/factor_trimestre),((NºAsuntos!I15/NºAsuntos!G15)*11)/factor_trimestre," - ")</f>
        <v>3.1179162609542361</v>
      </c>
      <c r="AN15" s="244">
        <f>IF(ISNUMBER('Resol  Asuntos'!D15/NºAsuntos!G15),'Resol  Asuntos'!D15/NºAsuntos!G15," - ")</f>
        <v>0.1359298928919182</v>
      </c>
      <c r="AO15" s="245">
        <f>IF(ISNUMBER((NºAsuntos!C15+NºAsuntos!E15)/NºAsuntos!G15),(NºAsuntos!C15+NºAsuntos!E15)/NºAsuntos!G15," - ")</f>
        <v>1.2624148003894839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1102</v>
      </c>
      <c r="X17" s="226">
        <f>IF(ISNUMBER(Datos!Q17),Datos!Q17," - ")</f>
        <v>9</v>
      </c>
      <c r="Y17" s="334">
        <f t="shared" si="7"/>
        <v>1111</v>
      </c>
      <c r="Z17" s="335" t="str">
        <f>IF(ISNUMBER(Datos!CC17),Datos!CC17," - ")</f>
        <v xml:space="preserve"> - </v>
      </c>
      <c r="AA17" s="332">
        <f>IF(ISNUMBER(Datos!L17),Datos!L17,"-")</f>
        <v>189</v>
      </c>
      <c r="AB17" s="334">
        <f>IF(ISNUMBER(Datos!R17),Datos!R17," - ")</f>
        <v>12</v>
      </c>
      <c r="AC17" s="334">
        <f t="shared" si="6"/>
        <v>201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130</v>
      </c>
      <c r="AJ17" s="231" t="str">
        <f>IF(ISNUMBER(Datos!BW17),Datos!BW17," - ")</f>
        <v xml:space="preserve"> - </v>
      </c>
      <c r="AK17" s="232" t="str">
        <f>IF(ISNUMBER(Datos!BX17),Datos!BX17," - ")</f>
        <v xml:space="preserve"> - </v>
      </c>
      <c r="AL17" s="243">
        <f>IF(ISNUMBER(NºAsuntos!G17/NºAsuntos!E17),NºAsuntos!G17/NºAsuntos!E17," - ")</f>
        <v>0.96328671328671334</v>
      </c>
      <c r="AM17" s="260">
        <f>IF(ISNUMBER(((NºAsuntos!I17/NºAsuntos!G17)*11)/factor_trimestre),((NºAsuntos!I17/NºAsuntos!G17)*11)/factor_trimestre," - ")</f>
        <v>1.8865698729582578</v>
      </c>
      <c r="AN17" s="244">
        <f>IF(ISNUMBER('Resol  Asuntos'!D17/NºAsuntos!G17),'Resol  Asuntos'!D17/NºAsuntos!G17," - ")</f>
        <v>0.11796733212341198</v>
      </c>
      <c r="AO17" s="245">
        <f>IF(ISNUMBER((NºAsuntos!C17+NºAsuntos!E17)/NºAsuntos!G17),(NºAsuntos!C17+NºAsuntos!E17)/NºAsuntos!G17," - ")</f>
        <v>1.1715063520871143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3043</v>
      </c>
      <c r="G18" s="866">
        <f>SUBTOTAL(9,G15:G17)</f>
        <v>2974</v>
      </c>
      <c r="H18" s="865">
        <f t="shared" ref="H18:O18" si="10">SUBTOTAL(9,H14:H17)</f>
        <v>0</v>
      </c>
      <c r="I18" s="867">
        <f t="shared" si="10"/>
        <v>0</v>
      </c>
      <c r="J18" s="867">
        <f t="shared" si="10"/>
        <v>0</v>
      </c>
      <c r="K18" s="867">
        <f t="shared" si="10"/>
        <v>0</v>
      </c>
      <c r="L18" s="867">
        <f t="shared" si="10"/>
        <v>397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11372</v>
      </c>
      <c r="X18" s="867">
        <f t="shared" si="11"/>
        <v>410</v>
      </c>
      <c r="Y18" s="868">
        <f t="shared" si="11"/>
        <v>11381</v>
      </c>
      <c r="Z18" s="868">
        <f t="shared" si="11"/>
        <v>0</v>
      </c>
      <c r="AA18" s="868">
        <f t="shared" si="11"/>
        <v>3100</v>
      </c>
      <c r="AB18" s="868">
        <f t="shared" si="11"/>
        <v>310</v>
      </c>
      <c r="AC18" s="868">
        <f t="shared" si="11"/>
        <v>3410</v>
      </c>
      <c r="AD18" s="868">
        <f t="shared" si="11"/>
        <v>0</v>
      </c>
      <c r="AE18" s="872">
        <f t="shared" si="11"/>
        <v>0</v>
      </c>
      <c r="AF18" s="865">
        <f t="shared" si="11"/>
        <v>0</v>
      </c>
      <c r="AG18" s="873">
        <f t="shared" si="11"/>
        <v>0</v>
      </c>
      <c r="AH18" s="870">
        <f t="shared" si="11"/>
        <v>0</v>
      </c>
      <c r="AI18" s="865">
        <f t="shared" si="11"/>
        <v>1526</v>
      </c>
      <c r="AJ18" s="867">
        <f t="shared" si="11"/>
        <v>0</v>
      </c>
      <c r="AK18" s="870">
        <f t="shared" si="11"/>
        <v>0</v>
      </c>
      <c r="AL18" s="874">
        <f>IF(ISNUMBER(NºAsuntos!G18/NºAsuntos!E18),NºAsuntos!G18/NºAsuntos!E18," - ")</f>
        <v>1.0079773089877682</v>
      </c>
      <c r="AM18" s="874">
        <f>IF(ISNUMBER(((NºAsuntos!I18/NºAsuntos!G18)*11)/factor_trimestre),((NºAsuntos!I18/NºAsuntos!G18)*11)/factor_trimestre," - ")</f>
        <v>2.998593035525853</v>
      </c>
      <c r="AN18" s="875">
        <f>IF(ISNUMBER('Resol  Asuntos'!D18/NºAsuntos!G18),'Resol  Asuntos'!D18/NºAsuntos!G18," - ")</f>
        <v>0.13418923672177277</v>
      </c>
      <c r="AO18" s="876">
        <f>IF(ISNUMBER((NºAsuntos!C18+NºAsuntos!E18)/NºAsuntos!G18),(NºAsuntos!C18+NºAsuntos!E18)/NºAsuntos!G18," - ")</f>
        <v>1.2536053464650017</v>
      </c>
      <c r="AP18" s="877" t="str">
        <f t="shared" si="2"/>
        <v xml:space="preserve"> - </v>
      </c>
      <c r="AQ18" s="877">
        <f>IF(ISNUMBER((H18-W18+K18)/(F18)),(H18-W18+K18)/(F18)," - ")</f>
        <v>-3.7371015445284259</v>
      </c>
      <c r="AR18" s="878">
        <f>IF(ISNUMBER((Datos!P18-Datos!Q18)/(Datos!R18-Datos!P18+Datos!Q18)),(Datos!P18-Datos!Q18)/(Datos!R18-Datos!P18+Datos!Q18)," - ")</f>
        <v>-4.0247678018575851E-2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3119</v>
      </c>
      <c r="G19" s="821">
        <f t="shared" si="13"/>
        <v>3050</v>
      </c>
      <c r="H19" s="820">
        <f t="shared" si="13"/>
        <v>0</v>
      </c>
      <c r="I19" s="822">
        <f t="shared" si="13"/>
        <v>0</v>
      </c>
      <c r="J19" s="822">
        <f t="shared" si="13"/>
        <v>0</v>
      </c>
      <c r="K19" s="881">
        <f t="shared" si="13"/>
        <v>0</v>
      </c>
      <c r="L19" s="822">
        <f t="shared" si="13"/>
        <v>4432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11547</v>
      </c>
      <c r="X19" s="821">
        <f t="shared" si="14"/>
        <v>6895</v>
      </c>
      <c r="Y19" s="828">
        <f t="shared" si="14"/>
        <v>18041</v>
      </c>
      <c r="Z19" s="828">
        <f t="shared" si="14"/>
        <v>0</v>
      </c>
      <c r="AA19" s="828">
        <f t="shared" si="14"/>
        <v>3176</v>
      </c>
      <c r="AB19" s="828">
        <f t="shared" si="14"/>
        <v>14239</v>
      </c>
      <c r="AC19" s="828">
        <f t="shared" si="14"/>
        <v>3736</v>
      </c>
      <c r="AD19" s="828">
        <f t="shared" si="14"/>
        <v>0</v>
      </c>
      <c r="AE19" s="830">
        <f t="shared" si="14"/>
        <v>0</v>
      </c>
      <c r="AF19" s="831">
        <f t="shared" si="14"/>
        <v>0</v>
      </c>
      <c r="AG19" s="832">
        <f t="shared" si="14"/>
        <v>0</v>
      </c>
      <c r="AH19" s="830">
        <f t="shared" si="14"/>
        <v>0</v>
      </c>
      <c r="AI19" s="820">
        <f t="shared" si="14"/>
        <v>5508</v>
      </c>
      <c r="AJ19" s="820">
        <f t="shared" si="14"/>
        <v>0</v>
      </c>
      <c r="AK19" s="830">
        <f t="shared" si="14"/>
        <v>0</v>
      </c>
      <c r="AL19" s="884">
        <f>IF(ISNUMBER(NºAsuntos!G19/NºAsuntos!E19),NºAsuntos!G19/NºAsuntos!E19," - ")</f>
        <v>1.0545371393726894</v>
      </c>
      <c r="AM19" s="885">
        <f>IF(ISNUMBER(((NºAsuntos!I19/NºAsuntos!G19)*11)/factor_trimestre),((NºAsuntos!I19/NºAsuntos!G19)*11)/factor_trimestre," - ")</f>
        <v>4.3634260932417783</v>
      </c>
      <c r="AN19" s="885">
        <f>IF(ISNUMBER('Resol  Asuntos'!D19/NºAsuntos!G19),'Resol  Asuntos'!D19/NºAsuntos!G19," - ")</f>
        <v>0.19906035417419587</v>
      </c>
      <c r="AO19" s="886">
        <f>IF(ISNUMBER((NºAsuntos!C19+NºAsuntos!E19)/NºAsuntos!G19),(NºAsuntos!C19+NºAsuntos!E19)/NºAsuntos!G19," - ")</f>
        <v>1.387459342247922</v>
      </c>
      <c r="AP19" s="887" t="str">
        <f t="shared" si="2"/>
        <v xml:space="preserve"> - </v>
      </c>
      <c r="AQ19" s="888">
        <f>IF(OR(ISNUMBER(FIND("01",Criterios!A8,1)),ISNUMBER(FIND("02",Criterios!A8,1)),ISNUMBER(FIND("03",Criterios!A8,1)),ISNUMBER(FIND("04",Criterios!A8,1))),(I19-W19+K19)/(F19-K19),(H19-W19+K19)/(F19-K19))</f>
        <v>-3.7021481243988457</v>
      </c>
      <c r="AR19" s="889">
        <f>IF(ISNUMBER((Datos!P19-Datos!Q19)/(Datos!R19-Datos!P19+Datos!Q19)),(Datos!P19-Datos!Q19)/(Datos!R19-Datos!P19+Datos!Q19)," - ")</f>
        <v>-0.14746736917734404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1220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1712.9982486856197</v>
      </c>
      <c r="G21" s="253">
        <f>IF(ISNUMBER(STDEV(G8:G18)),STDEV(G8:G18),"-")</f>
        <v>1535.233369882247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5687.8020974713945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1498.5875254480704</v>
      </c>
      <c r="AJ21" s="252">
        <f t="shared" si="18"/>
        <v>0</v>
      </c>
      <c r="AK21" s="254">
        <f t="shared" si="18"/>
        <v>0</v>
      </c>
      <c r="AL21" s="249">
        <f t="shared" si="18"/>
        <v>5.3055546122791057E-2</v>
      </c>
      <c r="AM21" s="250">
        <f t="shared" si="18"/>
        <v>1.4246490270457963</v>
      </c>
      <c r="AN21" s="250">
        <f t="shared" si="18"/>
        <v>8.1900783544823982E-2</v>
      </c>
      <c r="AO21" s="251">
        <f t="shared" si="18"/>
        <v>0.13140002393195935</v>
      </c>
      <c r="AP21" s="291" t="str">
        <f t="shared" si="18"/>
        <v>-</v>
      </c>
      <c r="AQ21" s="292">
        <f t="shared" si="18"/>
        <v>1.0143234400707986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h/uoHBkut2DttnJ7Y79UGqlx5RzgMLtHj2j3C2mRha5RY4QjMvWGgqfeyly0nXXADkIzaH9rac2ueATj073cQ==" saltValue="YVFKc0NjcI5z3/L9+sUE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TERRASSA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0.48110125991600561</v>
      </c>
      <c r="I9" s="350">
        <f>IF(ISNUMBER((Tasas!C9-Datos!BE9)/Datos!BE9),(Tasas!C9-Datos!BE9)/Datos!BE9," - ")</f>
        <v>-0.29815429005487598</v>
      </c>
      <c r="J9" s="349">
        <f>IF(ISNUMBER((Tasas!D9-Datos!BF9)/Datos!BF9),(Tasas!D9-Datos!BF9)/Datos!BF9," - ")</f>
        <v>-0.54884390833868324</v>
      </c>
      <c r="K9" s="351">
        <f>IF(ISNUMBER((Tasas!E9-Datos!BG9)/Datos!BG9),(Tasas!E9-Datos!BG9)/Datos!BG9," - ")</f>
        <v>-0.11979937103868714</v>
      </c>
      <c r="M9" t="e">
        <f>IF(Monitorios="SI",Datos!CE9,0)</f>
        <v>#REF!</v>
      </c>
      <c r="N9" t="e">
        <f>IF(Monitorios="SI",Datos!CF9,0)</f>
        <v>#REF!</v>
      </c>
      <c r="O9" t="e">
        <f>IF(Monitorios="SI",Datos!CG9,0)</f>
        <v>#REF!</v>
      </c>
      <c r="P9" t="e">
        <f>IF(Monitorios="SI",Datos!CH9,0)</f>
        <v>#REF!</v>
      </c>
      <c r="Q9">
        <f>IF(J_V="SI",0,Datos!AG9)</f>
        <v>118</v>
      </c>
      <c r="R9">
        <f>IF(J_V="SI",0,Datos!AH9)</f>
        <v>570</v>
      </c>
      <c r="S9">
        <f>IF(J_V="SI",0,Datos!AI9)</f>
        <v>574</v>
      </c>
      <c r="T9">
        <f>IF(J_V="SI",0,Datos!AJ9)</f>
        <v>114</v>
      </c>
    </row>
    <row r="10" spans="2:20" ht="14.25">
      <c r="B10" s="275" t="s">
        <v>246</v>
      </c>
      <c r="C10" s="7" t="str">
        <f>Datos!A10</f>
        <v>Jdos. Violencia contra la mujer</v>
      </c>
      <c r="D10" s="352">
        <f>IF(ISNUMBER((Datos!I10-Datos!S10)/Datos!S10),(Datos!I10-Datos!S10)/Datos!S10," - ")</f>
        <v>0.16923076923076924</v>
      </c>
      <c r="E10" s="348">
        <f>IF(ISNUMBER((Datos!J10-Datos!T10)/Datos!T10),(Datos!J10-Datos!T10)/Datos!T10," - ")</f>
        <v>7.3619631901840496E-2</v>
      </c>
      <c r="F10" s="348">
        <f>IF(ISNUMBER((Datos!K10-Datos!U10)/Datos!U10),(Datos!K10-Datos!U10)/Datos!U10," - ")</f>
        <v>0.15131578947368421</v>
      </c>
      <c r="G10" s="349">
        <f>IF(ISNUMBER((Datos!L10-Datos!V10)/Datos!V10),(Datos!L10-Datos!V10)/Datos!V10," - ")</f>
        <v>0</v>
      </c>
      <c r="H10" s="230">
        <f>IF(ISNUMBER((Datos!M10-Datos!W10)/Datos!W10),(Datos!M10-Datos!W10)/Datos!W10," - ")</f>
        <v>2.3255813953488372E-2</v>
      </c>
      <c r="I10" s="350">
        <f>IF(ISNUMBER((Tasas!C10-Datos!BE10)/Datos!BE10),(Tasas!C10-Datos!BE10)/Datos!BE10," - ")</f>
        <v>-0.13142857142857145</v>
      </c>
      <c r="J10" s="349">
        <f>IF(ISNUMBER((Tasas!D10-Datos!BF10)/Datos!BF10),(Tasas!D10-Datos!BF10)/Datos!BF10," - ")</f>
        <v>-0.11122923588039858</v>
      </c>
      <c r="K10" s="351">
        <f>IF(ISNUMBER((Tasas!E10-Datos!BG10)/Datos!BG10),(Tasas!E10-Datos!BG10)/Datos!BG10," - ")</f>
        <v>-4.3809523809523743E-2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0.28619528619528617</v>
      </c>
      <c r="I11" s="350">
        <f>IF(ISNUMBER((Tasas!C11-Datos!BE11)/Datos!BE11),(Tasas!C11-Datos!BE11)/Datos!BE11," - ")</f>
        <v>-0.13016336287273231</v>
      </c>
      <c r="J11" s="349">
        <f>IF(ISNUMBER((Tasas!D11-Datos!BF11)/Datos!BF11),(Tasas!D11-Datos!BF11)/Datos!BF11," - ")</f>
        <v>-0.37607450111495611</v>
      </c>
      <c r="K11" s="351">
        <f>IF(ISNUMBER((Tasas!E11-Datos!BG11)/Datos!BG11),(Tasas!E11-Datos!BG11)/Datos!BG11," - ")</f>
        <v>-0.2073801806551071</v>
      </c>
      <c r="M11" t="e">
        <f>IF(Monitorios="SI",Datos!CE11,0)</f>
        <v>#REF!</v>
      </c>
      <c r="N11" t="e">
        <f>IF(Monitorios="SI",Datos!CF11,0)</f>
        <v>#REF!</v>
      </c>
      <c r="O11" t="e">
        <f>IF(Monitorios="SI",Datos!CG11,0)</f>
        <v>#REF!</v>
      </c>
      <c r="P11" t="e">
        <f>IF(Monitorios="SI",Datos!CH11,0)</f>
        <v>#REF!</v>
      </c>
      <c r="Q11">
        <f>IF(J_V="SI",0,Datos!AG11)</f>
        <v>211</v>
      </c>
      <c r="R11">
        <f>IF(J_V="SI",0,Datos!AH11)</f>
        <v>460</v>
      </c>
      <c r="S11">
        <f>IF(J_V="SI",0,Datos!AI11)</f>
        <v>368</v>
      </c>
      <c r="T11">
        <f>IF(J_V="SI",0,Datos!AJ11)</f>
        <v>200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0.43237410071942445</v>
      </c>
      <c r="I13" s="357">
        <f>IF(ISNUMBER((Tasas!C13-Datos!BE13)/Datos!BE13),(Tasas!C13-Datos!BE13)/Datos!BE13," - ")</f>
        <v>-0.27770578060973278</v>
      </c>
      <c r="J13" s="355">
        <f>IF(ISNUMBER((Tasas!D13-Datos!BF13)/Datos!BF13),(Tasas!D13-Datos!BF13)/Datos!BF13," - ")</f>
        <v>-0.52057747089551654</v>
      </c>
      <c r="K13" s="358">
        <f>IF(ISNUMBER((Tasas!E13-Datos!BG13)/Datos!BG13),(Tasas!E13-Datos!BG13)/Datos!BG13," - ")</f>
        <v>-0.13182656911766083</v>
      </c>
      <c r="M13" t="e">
        <f>IF(Monitorios="SI",Datos!CE13,0)</f>
        <v>#REF!</v>
      </c>
      <c r="N13" t="e">
        <f>IF(Monitorios="SI",Datos!CF13,0)</f>
        <v>#REF!</v>
      </c>
      <c r="O13" t="e">
        <f>IF(Monitorios="SI",Datos!CG13,0)</f>
        <v>#REF!</v>
      </c>
      <c r="P13" t="e">
        <f>IF(Monitorios="SI",Datos!CH13,0)</f>
        <v>#REF!</v>
      </c>
      <c r="Q13">
        <f>IF(J_V="SI",0,Datos!AG13)</f>
        <v>329</v>
      </c>
      <c r="R13">
        <f>IF(J_V="SI",0,Datos!AH13)</f>
        <v>1030</v>
      </c>
      <c r="S13">
        <f>IF(J_V="SI",0,Datos!AI13)</f>
        <v>942</v>
      </c>
      <c r="T13">
        <f>IF(J_V="SI",0,Datos!AJ13)</f>
        <v>314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0.54059945504087192</v>
      </c>
      <c r="E15" s="348">
        <f>IF(ISNUMBER(
   IF(D_I="SI",(Datos!J15-Datos!T15)/Datos!T15,(Datos!J15+Datos!AD15-(Datos!T15+Datos!AL15))/(Datos!T15+Datos!AL15))
     ),IF(D_I="SI",(Datos!J15-Datos!T15)/Datos!T15,(Datos!J15+Datos!AD15-(Datos!T15+Datos!AL15))/(Datos!T15+Datos!AL15))," - ")</f>
        <v>0.10616475722858701</v>
      </c>
      <c r="F15" s="348">
        <f>IF(ISNUMBER(
   IF(D_I="SI",(Datos!K15-Datos!U15)/Datos!U15,(Datos!K15+Datos!AE15-(Datos!U15+Datos!AM15))/(Datos!U15+Datos!AM15))
     ),IF(D_I="SI",(Datos!K15-Datos!U15)/Datos!U15,(Datos!K15+Datos!AE15-(Datos!U15+Datos!AM15))/(Datos!U15+Datos!AM15))," - ")</f>
        <v>0.23111963557899784</v>
      </c>
      <c r="G15" s="349">
        <f>IF(ISNUMBER(
   IF(D_I="SI",(Datos!L15-Datos!V15)/Datos!V15,(Datos!L15+Datos!AF15-(Datos!V15+Datos!AN15))/(Datos!V15+Datos!AN15))
     ),IF(D_I="SI",(Datos!L15-Datos!V15)/Datos!V15,(Datos!L15+Datos!AF15-(Datos!V15+Datos!AN15))/(Datos!V15+Datos!AN15))," - ")</f>
        <v>2.9713477184294304E-2</v>
      </c>
      <c r="H15" s="230">
        <f>IF(ISNUMBER((Datos!M15-Datos!W15)/Datos!W15),(Datos!M15-Datos!W15)/Datos!W15," - ")</f>
        <v>0.14614121510673234</v>
      </c>
      <c r="I15" s="350">
        <f>IF(ISNUMBER((Tasas!C15-Datos!BE15)/Datos!BE15),(Tasas!C15-Datos!BE15)/Datos!BE15," - ")</f>
        <v>-0.16359592729587308</v>
      </c>
      <c r="J15" s="349">
        <f>IF(ISNUMBER((Tasas!D15-Datos!BF15)/Datos!BF15),(Tasas!D15-Datos!BF15)/Datos!BF15," - ")</f>
        <v>-6.9025314856829584E-2</v>
      </c>
      <c r="K15" s="351">
        <f>IF(ISNUMBER((Tasas!E15-Datos!BG15)/Datos!BG15),(Tasas!E15-Datos!BG15)/Datos!BG15," - ")</f>
        <v>-4.2630521377356803E-2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-0.25380710659898476</v>
      </c>
      <c r="E17" s="348">
        <f>IF(ISNUMBER(
   IF(D_I="SI",(Datos!J17-Datos!T17)/Datos!T17,(Datos!J17+Datos!AD17-(Datos!T17+Datos!AL17))/(Datos!T17+Datos!AL17))
     ),IF(D_I="SI",(Datos!J17-Datos!T17)/Datos!T17,(Datos!J17+Datos!AD17-(Datos!T17+Datos!AL17))/(Datos!T17+Datos!AL17))," - ")</f>
        <v>0.13267326732673268</v>
      </c>
      <c r="F17" s="348">
        <f>IF(ISNUMBER(
   IF(D_I="SI",(Datos!K17-Datos!U17)/Datos!U17,(Datos!K17+Datos!AE17-(Datos!U17+Datos!AM17))/(Datos!U17+Datos!AM17))
     ),IF(D_I="SI",(Datos!K17-Datos!U17)/Datos!U17,(Datos!K17+Datos!AE17-(Datos!U17+Datos!AM17))/(Datos!U17+Datos!AM17))," - ")</f>
        <v>3.962264150943396E-2</v>
      </c>
      <c r="G17" s="349">
        <f>IF(ISNUMBER(
   IF(D_I="SI",(Datos!L17-Datos!V17)/Datos!V17,(Datos!L17+Datos!AF17-(Datos!V17+Datos!AN17))/(Datos!V17+Datos!AN17))
     ),IF(D_I="SI",(Datos!L17-Datos!V17)/Datos!V17,(Datos!L17+Datos!AF17-(Datos!V17+Datos!AN17))/(Datos!V17+Datos!AN17))," - ")</f>
        <v>0.2857142857142857</v>
      </c>
      <c r="H17" s="230">
        <f>IF(ISNUMBER((Datos!M17-Datos!W17)/Datos!W17),(Datos!M17-Datos!W17)/Datos!W17," - ")</f>
        <v>0.41304347826086957</v>
      </c>
      <c r="I17" s="350">
        <f>IF(ISNUMBER((Tasas!C17-Datos!BE17)/Datos!BE17),(Tasas!C17-Datos!BE17)/Datos!BE17," - ")</f>
        <v>0.23671247083225314</v>
      </c>
      <c r="J17" s="349">
        <f>IF(ISNUMBER((Tasas!D17-Datos!BF17)/Datos!BF17),(Tasas!D17-Datos!BF17)/Datos!BF17," - ")</f>
        <v>0.35918882663931206</v>
      </c>
      <c r="K17" s="351">
        <f>IF(ISNUMBER((Tasas!E17-Datos!BG17)/Datos!BG17),(Tasas!E17-Datos!BG17)/Datos!BG17," - ")</f>
        <v>2.8829107880978658E-2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0.46358267716535434</v>
      </c>
      <c r="E18" s="354">
        <f>IF(ISNUMBER(
   IF(D_I="SI",(Datos!J18-Datos!T18)/Datos!T18,(Datos!J18+Datos!AD18-(Datos!T18+Datos!AL18))/(Datos!T18+Datos!AL18))
     ),IF(D_I="SI",(Datos!J18-Datos!T18)/Datos!T18,(Datos!J18+Datos!AD18-(Datos!T18+Datos!AL18))/(Datos!T18+Datos!AL18))," - ")</f>
        <v>0.10879606879606879</v>
      </c>
      <c r="F18" s="354">
        <f>IF(ISNUMBER(
   IF(D_I="SI",(Datos!K18-Datos!U18)/Datos!U18,(Datos!K18+Datos!AE18-(Datos!U18+Datos!AM18))/(Datos!U18+Datos!AM18))
     ),IF(D_I="SI",(Datos!K18-Datos!U18)/Datos!U18,(Datos!K18+Datos!AE18-(Datos!U18+Datos!AM18))/(Datos!U18+Datos!AM18))," - ")</f>
        <v>0.20952988725803021</v>
      </c>
      <c r="G18" s="355">
        <f>IF(ISNUMBER(
   IF(D_I="SI",(Datos!L18-Datos!V18)/Datos!V18,(Datos!L18+Datos!AF18-(Datos!V18+Datos!AN18))/(Datos!V18+Datos!AN18))
     ),IF(D_I="SI",(Datos!L18-Datos!V18)/Datos!V18,(Datos!L18+Datos!AF18-(Datos!V18+Datos!AN18))/(Datos!V18+Datos!AN18))," - ")</f>
        <v>4.2367182246133152E-2</v>
      </c>
      <c r="H18" s="356">
        <f>IF(ISNUMBER((Datos!M18-Datos!W18)/Datos!W18),(Datos!M18-Datos!W18)/Datos!W18," - ")</f>
        <v>0.16488549618320611</v>
      </c>
      <c r="I18" s="357">
        <f>IF(ISNUMBER((Tasas!C18-Datos!BE18)/Datos!BE18),(Tasas!C18-Datos!BE18)/Datos!BE18," - ")</f>
        <v>-0.1382046915689287</v>
      </c>
      <c r="J18" s="355">
        <f>IF(ISNUMBER((Tasas!D18-Datos!BF18)/Datos!BF18),(Tasas!D18-Datos!BF18)/Datos!BF18," - ")</f>
        <v>-3.6910531558696558E-2</v>
      </c>
      <c r="K18" s="358">
        <f>IF(ISNUMBER((Tasas!E18-Datos!BG18)/Datos!BG18),(Tasas!E18-Datos!BG18)/Datos!BG18," - ")</f>
        <v>-3.4455847672323604E-2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0.22598870056497175</v>
      </c>
      <c r="E19" s="363">
        <f>IF(ISNUMBER(
   IF(J_V="SI",(Datos!J19-Datos!T19)/Datos!T19,(Datos!J19+Datos!Z19-(Datos!T19+Datos!AH19))/(Datos!T19+Datos!AH19))
     ),IF(J_V="SI",(Datos!J19-Datos!T19)/Datos!T19,(Datos!J19+Datos!Z19-(Datos!T19+Datos!AH19))/(Datos!T19+Datos!AH19))," - ")</f>
        <v>2.1211177706857633E-2</v>
      </c>
      <c r="F19" s="363">
        <f>IF(ISNUMBER(
   IF(J_V="SI",(Datos!K19-Datos!U19)/Datos!U19,(Datos!K19+Datos!AA19-(Datos!U19+Datos!AI19))/(Datos!U19+Datos!AI19))
     ),IF(J_V="SI",(Datos!K19-Datos!U19)/Datos!U19,(Datos!K19+Datos!AA19-(Datos!U19+Datos!AI19))/(Datos!U19+Datos!AI19))," - ")</f>
        <v>0.1967993079584775</v>
      </c>
      <c r="G19" s="364">
        <f>IF(ISNUMBER(
   IF(J_V="SI",(Datos!L19-Datos!V19)/Datos!V19,(Datos!L19+Datos!AB19-(Datos!V19+Datos!AJ19))/(Datos!V19+Datos!AJ19))
     ),IF(J_V="SI",(Datos!L19-Datos!V19)/Datos!V19,(Datos!L19+Datos!AB19-(Datos!V19+Datos!AJ19))/(Datos!V19+Datos!AJ19))," - ")</f>
        <v>-9.6774193548387094E-2</v>
      </c>
      <c r="H19" s="365">
        <f>IF(ISNUMBER((Datos!M19-Datos!W19)/Datos!W19),(Datos!M19-Datos!W19)/Datos!W19," - ")</f>
        <v>0.3466992665036675</v>
      </c>
      <c r="I19" s="362">
        <f>IF(ISNUMBER((Tasas!C19-Datos!BE19)/Datos!BE19),(Tasas!C19-Datos!BE19)/Datos!BE19," - ")</f>
        <v>-0.2452988563367802</v>
      </c>
      <c r="J19" s="363">
        <f>IF(ISNUMBER((Tasas!D19-Datos!BF19)/Datos!BF19),(Tasas!D19-Datos!BF19)/Datos!BF19," - ")</f>
        <v>-0.44557578743435627</v>
      </c>
      <c r="K19" s="364">
        <f>IF(ISNUMBER((Tasas!E19-Datos!BG19)/Datos!BG19),(Tasas!E19-Datos!BG19)/Datos!BG19," - ")</f>
        <v>-9.9082739067237066E-2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0.35999771550106574</v>
      </c>
      <c r="E21" s="278">
        <f t="shared" si="1"/>
        <v>2.4261842932653099E-2</v>
      </c>
      <c r="F21" s="278">
        <f t="shared" si="1"/>
        <v>8.5750890405641989E-2</v>
      </c>
      <c r="G21" s="279">
        <f t="shared" si="1"/>
        <v>0.13204319523840932</v>
      </c>
      <c r="H21" s="285">
        <f t="shared" si="1"/>
        <v>0.17246327002150638</v>
      </c>
      <c r="I21" s="277">
        <f t="shared" si="1"/>
        <v>0.17595502268533575</v>
      </c>
      <c r="J21" s="278">
        <f t="shared" si="1"/>
        <v>0.32105504788885486</v>
      </c>
      <c r="K21" s="279">
        <f t="shared" si="1"/>
        <v>7.8643268351764176E-2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rOwTHmatJ8kye4E5eR/j2a6ExZSScIr6NNGRJKBAua1b7AhLAXM6EzUU7INQZObmjHZsk6NtIp/aiGk5dRwtg==" saltValue="p8ZXBZiNijAVqtU/3iqKM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5.3079138762871754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76</v>
      </c>
      <c r="D10" s="225">
        <f>IF(ISNUMBER(Datos!I10),Datos!I10," - ")</f>
        <v>76</v>
      </c>
      <c r="E10" s="226">
        <f>IF(ISNUMBER(Datos!J10),Datos!J10," - ")</f>
        <v>175</v>
      </c>
      <c r="F10" s="226">
        <f>IF(ISNUMBER(Datos!K10),Datos!K10," - ")</f>
        <v>175</v>
      </c>
      <c r="G10" s="1034" t="str">
        <f>IF(Datos!E10&lt;&gt;"",Datos!E10,Datos!D10)</f>
        <v>37</v>
      </c>
      <c r="H10" s="227">
        <f>IF(ISNUMBER(Datos!L10),Datos!L10," - ")</f>
        <v>76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4.7771428571428567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5.4065295169946337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76</v>
      </c>
      <c r="D13" s="1049">
        <f>SUBTOTAL(9,D9:D12)</f>
        <v>76</v>
      </c>
      <c r="E13" s="1050">
        <f>SUBTOTAL(9,E9:E12)</f>
        <v>175</v>
      </c>
      <c r="F13" s="1051">
        <f>SUBTOTAL(9,F9:F12)</f>
        <v>175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3043</v>
      </c>
      <c r="D15" s="225">
        <f>IF(ISNUMBER(IF(D_I="SI",Datos!I15,Datos!I15+Datos!AC15)),IF(D_I="SI",Datos!I15,Datos!I15+Datos!AC15)," - ")</f>
        <v>2827</v>
      </c>
      <c r="E15" s="226">
        <f>IF(ISNUMBER(IF(D_I="SI",Datos!J15,Datos!J15+Datos!AD15)),IF(D_I="SI",Datos!J15,Datos!J15+Datos!AD15)," - ")</f>
        <v>10138</v>
      </c>
      <c r="F15" s="226">
        <f>IF(ISNUMBER(IF(D_I="SI",Datos!K15,Datos!K15+Datos!AE15)),IF(D_I="SI",Datos!K15,Datos!K15+Datos!AE15)," - ")</f>
        <v>10270</v>
      </c>
      <c r="G15" s="1034" t="str">
        <f>IF(Datos!E15&lt;&gt;"",Datos!E15,Datos!D15)</f>
        <v>03</v>
      </c>
      <c r="H15" s="227">
        <f>IF(ISNUMBER(IF(D_I="SI",Datos!L15,Datos!L15+Datos!AF15)),IF(D_I="SI",Datos!L15,Datos!L15+Datos!AF15)," - ")</f>
        <v>2911</v>
      </c>
      <c r="I15" s="1044" t="str">
        <f>IF(ISNUMBER(Datos!AS15/Datos!BM15),Datos!AS15/Datos!BM15," - ")</f>
        <v xml:space="preserve"> - </v>
      </c>
      <c r="J15" s="1045">
        <f>IF(ISNUMBER(Datos!BY15/Datos!CN15),Datos!BY15/Datos!CN15," - ")</f>
        <v>0</v>
      </c>
      <c r="K15" s="230">
        <f t="shared" ref="K15:K17" si="3">IF(ISNUMBER((E15-F15)/C15),(E15-F15)/C15," - ")</f>
        <v>-4.3378245152809726E-2</v>
      </c>
      <c r="L15" s="1025">
        <f>IF(ISNUMBER(NºAsuntos!I15/NºAsuntos!G15),(NºAsuntos!I15/NºAsuntos!G15)*11," - ")</f>
        <v>3.1179162609542361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147</v>
      </c>
      <c r="D17" s="225">
        <f>IF(ISNUMBER(IF(D_I="SI",Datos!I17,Datos!I17+Datos!AC17)),IF(D_I="SI",Datos!I17,Datos!I17+Datos!AC17)," - ")</f>
        <v>147</v>
      </c>
      <c r="E17" s="226">
        <f>IF(ISNUMBER(IF(D_I="SI",Datos!J17,Datos!J17+Datos!AD17)),IF(D_I="SI",Datos!J17,Datos!J17+Datos!AD17)," - ")</f>
        <v>1144</v>
      </c>
      <c r="F17" s="226">
        <f>IF(ISNUMBER(IF(D_I="SI",Datos!K17,Datos!K17+Datos!AE17)),IF(D_I="SI",Datos!K17,Datos!K17+Datos!AE17)," - ")</f>
        <v>1102</v>
      </c>
      <c r="G17" s="1034" t="str">
        <f>IF(Datos!E17&lt;&gt;"",Datos!E17,Datos!D17)</f>
        <v>37</v>
      </c>
      <c r="H17" s="227">
        <f>IF(ISNUMBER(IF(D_I="SI",Datos!L17,Datos!L17+Datos!AF17)),IF(D_I="SI",Datos!L17,Datos!L17+Datos!AF17)," - ")</f>
        <v>189</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1.8865698729582578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3190</v>
      </c>
      <c r="D18" s="1049">
        <f>SUBTOTAL(9,D15:D17)</f>
        <v>2974</v>
      </c>
      <c r="E18" s="1050">
        <f>SUBTOTAL(9,E15:E17)</f>
        <v>11282</v>
      </c>
      <c r="F18" s="1050">
        <f>SUBTOTAL(9,F15:F17)</f>
        <v>11372</v>
      </c>
      <c r="G18" s="1052" t="str">
        <f ca="1">INDIRECT(CONCATENATE("G",ROW()-1))</f>
        <v>37</v>
      </c>
      <c r="H18" s="1053">
        <f ca="1">SUMIF(G$14:G17,G18,H$14:H17)</f>
        <v>189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3266</v>
      </c>
      <c r="D19" s="1071">
        <f>SUBTOTAL(9,D9:D18)</f>
        <v>3050</v>
      </c>
      <c r="E19" s="1072">
        <f>SUBTOTAL(9,E9:E18)</f>
        <v>11457</v>
      </c>
      <c r="F19" s="1072">
        <f>SUBTOTAL(9,F9:F18)</f>
        <v>11547</v>
      </c>
      <c r="G19" s="1073"/>
      <c r="H19" s="1074">
        <f ca="1">SUMIF(B9:B18,"TOTAL",H9:H18)</f>
        <v>189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A1K80Y/qUk2kHqabd1IQmg5bgDhW15nau02Si2JEomvLaLUHpwWLSsTXQWUbNHKPwhcG2ucfO6xtoMSFnakjg==" saltValue="hpSH8Lyh6tLzQJ2Yl+vQu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NlUPSyyq+bO8mm2ScsC8tvarm0HnoyoYji50VT1rWz4IXxyUgRDBY3EkOecn0LvwYLrb9ODDBuzD4hlXljpFw==" saltValue="3miKxA0R0LPrtuqy0icg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7950</v>
      </c>
      <c r="J9" s="181">
        <v>12090</v>
      </c>
      <c r="K9" s="181">
        <v>13384</v>
      </c>
      <c r="L9" s="181">
        <v>6646</v>
      </c>
      <c r="M9" s="181">
        <v>3174</v>
      </c>
      <c r="N9" s="181">
        <v>6144</v>
      </c>
      <c r="O9" s="181">
        <v>7038</v>
      </c>
      <c r="P9" s="181">
        <v>3769</v>
      </c>
      <c r="Q9" s="181">
        <v>5833</v>
      </c>
      <c r="R9" s="181">
        <v>13264</v>
      </c>
      <c r="S9" s="181">
        <v>6357</v>
      </c>
      <c r="T9" s="181">
        <v>12719</v>
      </c>
      <c r="U9" s="181">
        <v>11155</v>
      </c>
      <c r="V9" s="181">
        <v>7950</v>
      </c>
      <c r="W9" s="181">
        <v>2143</v>
      </c>
      <c r="X9" s="188">
        <v>5942</v>
      </c>
      <c r="Y9" s="191">
        <v>114</v>
      </c>
      <c r="Z9" s="181">
        <v>443</v>
      </c>
      <c r="AA9" s="181">
        <v>503</v>
      </c>
      <c r="AB9" s="181">
        <v>55</v>
      </c>
      <c r="AC9" s="181">
        <v>0</v>
      </c>
      <c r="AD9" s="181">
        <v>0</v>
      </c>
      <c r="AE9" s="181">
        <v>0</v>
      </c>
      <c r="AF9" s="188">
        <v>0</v>
      </c>
      <c r="AG9" s="191">
        <v>118</v>
      </c>
      <c r="AH9" s="181">
        <v>570</v>
      </c>
      <c r="AI9" s="181">
        <v>574</v>
      </c>
      <c r="AJ9" s="192">
        <v>114</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6475</v>
      </c>
      <c r="AZ9" s="123">
        <f>IF(ISNUMBER(IF(J_V="SI",T9,T9+AH9)),IF(J_V="SI",T9,T9+AH9)," - ")</f>
        <v>13289</v>
      </c>
      <c r="BA9" s="124">
        <f>IF(ISNUMBER(IF(J_V="SI",U9,U9+AI9)),IF(J_V="SI",U9,U9+AI9)," - ")</f>
        <v>11729</v>
      </c>
      <c r="BB9" s="124">
        <f>IF(ISNUMBER(IF(J_V="SI",V9,V9+AJ9)),IF(J_V="SI",V9,V9+AJ9)," - ")</f>
        <v>8064</v>
      </c>
      <c r="BC9" s="125">
        <f>IF(ISNUMBER(X9),X9," - ")</f>
        <v>5942</v>
      </c>
      <c r="BD9" s="126">
        <f>IF(ISNUMBER(BA9/AZ9),BA9/AZ9," - ")</f>
        <v>0.88260967717661221</v>
      </c>
      <c r="BE9" s="127">
        <f>IF(ISNUMBER(BB9/BA9),BB9/BA9, " - ")</f>
        <v>0.68752664336260549</v>
      </c>
      <c r="BF9" s="127">
        <f>IF(ISNUMBER(BC9/BA9),BC9/BA9, " - ")</f>
        <v>0.50660755392616597</v>
      </c>
      <c r="BG9" s="196">
        <f>IF(ISNUMBER((AY9+AZ9)/BA9),(AY9+AZ9)/BA9," - ")</f>
        <v>1.6850541393128144</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76</v>
      </c>
      <c r="J10" s="181">
        <v>175</v>
      </c>
      <c r="K10" s="181">
        <v>175</v>
      </c>
      <c r="L10" s="181">
        <v>76</v>
      </c>
      <c r="M10" s="181">
        <v>44</v>
      </c>
      <c r="N10" s="181">
        <v>83</v>
      </c>
      <c r="O10" s="181">
        <v>68</v>
      </c>
      <c r="P10" s="181">
        <v>25</v>
      </c>
      <c r="Q10" s="181">
        <v>24</v>
      </c>
      <c r="R10" s="181">
        <v>250</v>
      </c>
      <c r="S10" s="181">
        <v>65</v>
      </c>
      <c r="T10" s="181">
        <v>163</v>
      </c>
      <c r="U10" s="181">
        <v>152</v>
      </c>
      <c r="V10" s="181">
        <v>76</v>
      </c>
      <c r="W10" s="181">
        <v>43</v>
      </c>
      <c r="X10" s="188">
        <v>74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65</v>
      </c>
      <c r="AZ10" s="129">
        <f t="shared" si="0"/>
        <v>163</v>
      </c>
      <c r="BA10" s="129">
        <f t="shared" si="0"/>
        <v>152</v>
      </c>
      <c r="BB10" s="129">
        <f t="shared" si="0"/>
        <v>76</v>
      </c>
      <c r="BC10" s="125">
        <f t="shared" si="0"/>
        <v>43</v>
      </c>
      <c r="BD10" s="126">
        <f>IF(ISNUMBER(BA10/AZ10),BA10/AZ10," - ")</f>
        <v>0.93251533742331283</v>
      </c>
      <c r="BE10" s="127">
        <f>IF(ISNUMBER(BB10/BA10),BB10/BA10, " - ")</f>
        <v>0.5</v>
      </c>
      <c r="BF10" s="127">
        <f>IF(ISNUMBER(BC10/BA10),BC10/BA10, " - ")</f>
        <v>0.28289473684210525</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838</v>
      </c>
      <c r="J11" s="183">
        <v>1730</v>
      </c>
      <c r="K11" s="183">
        <v>1859</v>
      </c>
      <c r="L11" s="183">
        <v>753</v>
      </c>
      <c r="M11" s="183">
        <v>764</v>
      </c>
      <c r="N11" s="183">
        <v>1096</v>
      </c>
      <c r="O11" s="181">
        <v>667</v>
      </c>
      <c r="P11" s="183">
        <v>241</v>
      </c>
      <c r="Q11" s="183">
        <v>628</v>
      </c>
      <c r="R11" s="183">
        <v>415</v>
      </c>
      <c r="S11" s="183">
        <v>1129</v>
      </c>
      <c r="T11" s="183">
        <v>1607</v>
      </c>
      <c r="U11" s="183">
        <v>1469</v>
      </c>
      <c r="V11" s="183">
        <v>838</v>
      </c>
      <c r="W11" s="183">
        <v>594</v>
      </c>
      <c r="X11" s="189">
        <v>1006</v>
      </c>
      <c r="Y11" s="191">
        <v>200</v>
      </c>
      <c r="Z11" s="181">
        <v>519</v>
      </c>
      <c r="AA11" s="181">
        <v>377</v>
      </c>
      <c r="AB11" s="181">
        <v>346</v>
      </c>
      <c r="AC11" s="183">
        <v>0</v>
      </c>
      <c r="AD11" s="183">
        <v>0</v>
      </c>
      <c r="AE11" s="183">
        <v>0</v>
      </c>
      <c r="AF11" s="189">
        <v>0</v>
      </c>
      <c r="AG11" s="202">
        <v>211</v>
      </c>
      <c r="AH11" s="183">
        <v>460</v>
      </c>
      <c r="AI11" s="183">
        <v>368</v>
      </c>
      <c r="AJ11" s="203">
        <v>200</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1340</v>
      </c>
      <c r="AZ11" s="127">
        <f t="shared" si="1"/>
        <v>2067</v>
      </c>
      <c r="BA11" s="127">
        <f t="shared" si="1"/>
        <v>1837</v>
      </c>
      <c r="BB11" s="127">
        <f t="shared" si="1"/>
        <v>1038</v>
      </c>
      <c r="BC11" s="125">
        <f>IF(ISNUMBER(X11),X11," - ")</f>
        <v>1006</v>
      </c>
      <c r="BD11" s="126">
        <f t="shared" ref="BD11:BD12" si="2">IF(ISNUMBER(BA11/AZ11),BA11/AZ11," - ")</f>
        <v>0.8887276245766812</v>
      </c>
      <c r="BE11" s="127">
        <f t="shared" ref="BE11:BE12" si="3">IF(ISNUMBER(BB11/BA11),BB11/BA11, " - ")</f>
        <v>0.56505171475231353</v>
      </c>
      <c r="BF11" s="127">
        <f t="shared" ref="BF11:BF12" si="4">IF(ISNUMBER(BC11/BA11),BC11/BA11, " - ")</f>
        <v>0.54763200870985307</v>
      </c>
      <c r="BG11" s="196">
        <f t="shared" ref="BG11:BG12" si="5">IF(ISNUMBER((AY11+AZ11)/BA11),(AY11+AZ11)/BA11," - ")</f>
        <v>1.8546543277082199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8864</v>
      </c>
      <c r="J13" s="184">
        <f t="shared" si="6"/>
        <v>13995</v>
      </c>
      <c r="K13" s="184">
        <f t="shared" si="6"/>
        <v>15418</v>
      </c>
      <c r="L13" s="184">
        <f t="shared" si="6"/>
        <v>7475</v>
      </c>
      <c r="M13" s="184">
        <f t="shared" si="6"/>
        <v>3982</v>
      </c>
      <c r="N13" s="184">
        <f t="shared" si="6"/>
        <v>7323</v>
      </c>
      <c r="O13" s="184">
        <f t="shared" si="6"/>
        <v>7773</v>
      </c>
      <c r="P13" s="184">
        <f t="shared" si="6"/>
        <v>4035</v>
      </c>
      <c r="Q13" s="184">
        <f t="shared" si="6"/>
        <v>6485</v>
      </c>
      <c r="R13" s="184">
        <f t="shared" si="6"/>
        <v>13929</v>
      </c>
      <c r="S13" s="184">
        <f t="shared" si="6"/>
        <v>7551</v>
      </c>
      <c r="T13" s="184">
        <f t="shared" si="6"/>
        <v>14489</v>
      </c>
      <c r="U13" s="184">
        <f t="shared" si="6"/>
        <v>12776</v>
      </c>
      <c r="V13" s="184">
        <f t="shared" si="6"/>
        <v>8864</v>
      </c>
      <c r="W13" s="184">
        <f t="shared" si="6"/>
        <v>2780</v>
      </c>
      <c r="X13" s="184">
        <f t="shared" si="6"/>
        <v>7022</v>
      </c>
      <c r="Y13" s="184">
        <f t="shared" si="6"/>
        <v>314</v>
      </c>
      <c r="Z13" s="184">
        <f t="shared" si="6"/>
        <v>962</v>
      </c>
      <c r="AA13" s="184">
        <f t="shared" si="6"/>
        <v>880</v>
      </c>
      <c r="AB13" s="184">
        <f t="shared" si="6"/>
        <v>401</v>
      </c>
      <c r="AC13" s="184">
        <f t="shared" si="6"/>
        <v>0</v>
      </c>
      <c r="AD13" s="184">
        <f t="shared" si="6"/>
        <v>0</v>
      </c>
      <c r="AE13" s="184">
        <f t="shared" si="6"/>
        <v>0</v>
      </c>
      <c r="AF13" s="184">
        <f>SUBTOTAL(9,AF9:AF12)</f>
        <v>0</v>
      </c>
      <c r="AG13" s="184">
        <f t="shared" ref="AG13:AT13" si="7">SUBTOTAL(9,AG8:AG12)</f>
        <v>329</v>
      </c>
      <c r="AH13" s="184">
        <f t="shared" si="7"/>
        <v>1030</v>
      </c>
      <c r="AI13" s="184">
        <f t="shared" si="7"/>
        <v>942</v>
      </c>
      <c r="AJ13" s="184">
        <f t="shared" si="7"/>
        <v>314</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7880</v>
      </c>
      <c r="AZ13" s="184">
        <f>SUBTOTAL(9,AZ8:AZ12)</f>
        <v>15519</v>
      </c>
      <c r="BA13" s="184">
        <f>SUBTOTAL(9,BA8:BA12)</f>
        <v>13718</v>
      </c>
      <c r="BB13" s="184">
        <f>SUBTOTAL(9,BB8:BB12)</f>
        <v>9178</v>
      </c>
      <c r="BC13" s="184">
        <f>SUBTOTAL(9,BC8:BC12)</f>
        <v>6991</v>
      </c>
      <c r="BD13" s="205">
        <f>IF(ISNUMBER(BA13/AZ13),BA13/AZ13," - ")</f>
        <v>0.88394870803531156</v>
      </c>
      <c r="BE13" s="206">
        <f>IF(ISNUMBER(BB13/BA13),BB13/BA13, " - ")</f>
        <v>0.6690479661758274</v>
      </c>
      <c r="BF13" s="206">
        <f>IF(ISNUMBER(BC13/BA13),BC13/BA13, " - ")</f>
        <v>0.50962239393497599</v>
      </c>
      <c r="BG13" s="207">
        <f>IF(ISNUMBER((AY13+AZ13)/BA13),(AY13+AZ13)/BA13," - ")</f>
        <v>1.7057151188219857</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2827</v>
      </c>
      <c r="J15" s="183">
        <v>10138</v>
      </c>
      <c r="K15" s="183">
        <v>10270</v>
      </c>
      <c r="L15" s="183">
        <v>2911</v>
      </c>
      <c r="M15" s="183">
        <v>1396</v>
      </c>
      <c r="N15" s="183">
        <v>6400</v>
      </c>
      <c r="O15" s="181">
        <v>89</v>
      </c>
      <c r="P15" s="183">
        <v>384</v>
      </c>
      <c r="Q15" s="183">
        <v>401</v>
      </c>
      <c r="R15" s="183">
        <v>298</v>
      </c>
      <c r="S15" s="183">
        <v>1835</v>
      </c>
      <c r="T15" s="183">
        <v>9165</v>
      </c>
      <c r="U15" s="183">
        <v>8342</v>
      </c>
      <c r="V15" s="183">
        <v>2827</v>
      </c>
      <c r="W15" s="183">
        <v>1218</v>
      </c>
      <c r="X15" s="189">
        <v>4829</v>
      </c>
      <c r="Y15" s="202">
        <v>0</v>
      </c>
      <c r="Z15" s="183">
        <v>0</v>
      </c>
      <c r="AA15" s="183">
        <v>0</v>
      </c>
      <c r="AB15" s="183">
        <v>0</v>
      </c>
      <c r="AC15" s="183">
        <v>7</v>
      </c>
      <c r="AD15" s="183">
        <v>154</v>
      </c>
      <c r="AE15" s="183">
        <v>160</v>
      </c>
      <c r="AF15" s="189">
        <v>1</v>
      </c>
      <c r="AG15" s="202">
        <v>0</v>
      </c>
      <c r="AH15" s="183">
        <v>0</v>
      </c>
      <c r="AI15" s="183">
        <v>0</v>
      </c>
      <c r="AJ15" s="203">
        <v>0</v>
      </c>
      <c r="AK15" s="182">
        <v>3</v>
      </c>
      <c r="AL15" s="183">
        <v>182</v>
      </c>
      <c r="AM15" s="183">
        <v>178</v>
      </c>
      <c r="AN15" s="189">
        <v>7</v>
      </c>
      <c r="AO15" s="259">
        <v>4</v>
      </c>
      <c r="AP15" s="155">
        <v>4</v>
      </c>
      <c r="AQ15" s="155">
        <v>4</v>
      </c>
      <c r="AR15" s="155">
        <v>4</v>
      </c>
      <c r="AS15" s="340" t="s">
        <v>527</v>
      </c>
      <c r="AT15" s="203" t="s">
        <v>326</v>
      </c>
      <c r="AU15" s="202"/>
      <c r="AV15" s="203"/>
      <c r="AW15" s="202"/>
      <c r="AX15" s="203"/>
      <c r="AY15" s="128">
        <f t="shared" ref="AY15:BB16" si="9">IF(ISNUMBER(IF(D_I="SI",S15,S15+AK15)),IF(D_I="SI",S15,S15+AK15)," - ")</f>
        <v>1835</v>
      </c>
      <c r="AZ15" s="129">
        <f t="shared" si="9"/>
        <v>9165</v>
      </c>
      <c r="BA15" s="129">
        <f t="shared" si="9"/>
        <v>8342</v>
      </c>
      <c r="BB15" s="129">
        <f t="shared" si="9"/>
        <v>2827</v>
      </c>
      <c r="BC15" s="125">
        <f>IF(ISNUMBER(W15),W15," - ")</f>
        <v>1218</v>
      </c>
      <c r="BD15" s="126">
        <f>IF(ISNUMBER(BA15/AZ15),BA15/AZ15," - ")</f>
        <v>0.910201854882706</v>
      </c>
      <c r="BE15" s="127">
        <f>IF(ISNUMBER(BB15/BA15),BB15/BA15, " - ")</f>
        <v>0.3388875569407816</v>
      </c>
      <c r="BF15" s="127">
        <f>IF(ISNUMBER(BC15/BA15),BC15/BA15, " - ")</f>
        <v>0.1460081515224167</v>
      </c>
      <c r="BG15" s="196">
        <f t="shared" ref="BG15:BG16" si="10">IF(ISNUMBER((AY15+AZ15)/BA15),(AY15+AZ15)/BA15," - ")</f>
        <v>1.3186286262287221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147</v>
      </c>
      <c r="J17" s="183">
        <v>1144</v>
      </c>
      <c r="K17" s="183">
        <v>1102</v>
      </c>
      <c r="L17" s="183">
        <v>189</v>
      </c>
      <c r="M17" s="183">
        <v>130</v>
      </c>
      <c r="N17" s="183">
        <v>490</v>
      </c>
      <c r="O17" s="183">
        <v>0</v>
      </c>
      <c r="P17" s="183">
        <v>13</v>
      </c>
      <c r="Q17" s="183">
        <v>9</v>
      </c>
      <c r="R17" s="183">
        <v>12</v>
      </c>
      <c r="S17" s="183">
        <v>197</v>
      </c>
      <c r="T17" s="183">
        <v>1010</v>
      </c>
      <c r="U17" s="183">
        <v>1060</v>
      </c>
      <c r="V17" s="183">
        <v>147</v>
      </c>
      <c r="W17" s="183">
        <v>92</v>
      </c>
      <c r="X17" s="189">
        <v>451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197</v>
      </c>
      <c r="AZ17" s="129">
        <f t="shared" si="14"/>
        <v>1010</v>
      </c>
      <c r="BA17" s="129">
        <f t="shared" si="14"/>
        <v>1060</v>
      </c>
      <c r="BB17" s="129">
        <f t="shared" si="14"/>
        <v>147</v>
      </c>
      <c r="BC17" s="125">
        <f>IF(ISNUMBER(W17),W17," - ")</f>
        <v>92</v>
      </c>
      <c r="BD17" s="126">
        <f>IF(ISNUMBER(BA17/AZ17),BA17/AZ17," - ")</f>
        <v>1.0495049504950495</v>
      </c>
      <c r="BE17" s="127">
        <f>IF(ISNUMBER(BB17/BA17),BB17/BA17, " - ")</f>
        <v>0.13867924528301886</v>
      </c>
      <c r="BF17" s="127">
        <f>IF(ISNUMBER(BC17/BA17),BC17/BA17, " - ")</f>
        <v>8.6792452830188674E-2</v>
      </c>
      <c r="BG17" s="196">
        <f>IF(ISNUMBER((AY17+AZ17)/BA17),(AY17+AZ17)/BA17," - ")</f>
        <v>1.1386792452830188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2974</v>
      </c>
      <c r="J18" s="184">
        <f t="shared" si="15"/>
        <v>11282</v>
      </c>
      <c r="K18" s="184">
        <f t="shared" si="15"/>
        <v>11372</v>
      </c>
      <c r="L18" s="184">
        <f t="shared" si="15"/>
        <v>3100</v>
      </c>
      <c r="M18" s="184">
        <f t="shared" si="15"/>
        <v>1526</v>
      </c>
      <c r="N18" s="184">
        <f t="shared" si="15"/>
        <v>6890</v>
      </c>
      <c r="O18" s="184">
        <f t="shared" si="15"/>
        <v>89</v>
      </c>
      <c r="P18" s="184">
        <f t="shared" si="15"/>
        <v>397</v>
      </c>
      <c r="Q18" s="184">
        <f t="shared" si="15"/>
        <v>410</v>
      </c>
      <c r="R18" s="184">
        <f t="shared" si="15"/>
        <v>310</v>
      </c>
      <c r="S18" s="184">
        <f t="shared" si="15"/>
        <v>2032</v>
      </c>
      <c r="T18" s="184">
        <f t="shared" si="15"/>
        <v>10175</v>
      </c>
      <c r="U18" s="184">
        <f t="shared" si="15"/>
        <v>9402</v>
      </c>
      <c r="V18" s="184">
        <f t="shared" si="15"/>
        <v>2974</v>
      </c>
      <c r="W18" s="184">
        <f t="shared" si="15"/>
        <v>1310</v>
      </c>
      <c r="X18" s="184">
        <f t="shared" si="15"/>
        <v>5280</v>
      </c>
      <c r="Y18" s="184">
        <f t="shared" si="15"/>
        <v>0</v>
      </c>
      <c r="Z18" s="184">
        <f t="shared" si="15"/>
        <v>0</v>
      </c>
      <c r="AA18" s="184">
        <f t="shared" si="15"/>
        <v>0</v>
      </c>
      <c r="AB18" s="184">
        <f t="shared" si="15"/>
        <v>0</v>
      </c>
      <c r="AC18" s="184">
        <f t="shared" si="15"/>
        <v>7</v>
      </c>
      <c r="AD18" s="184">
        <f t="shared" si="15"/>
        <v>154</v>
      </c>
      <c r="AE18" s="184">
        <f t="shared" si="15"/>
        <v>160</v>
      </c>
      <c r="AF18" s="184">
        <f t="shared" si="15"/>
        <v>1</v>
      </c>
      <c r="AG18" s="184">
        <f t="shared" si="15"/>
        <v>0</v>
      </c>
      <c r="AH18" s="184">
        <f t="shared" si="15"/>
        <v>0</v>
      </c>
      <c r="AI18" s="184">
        <f t="shared" si="15"/>
        <v>0</v>
      </c>
      <c r="AJ18" s="184">
        <f t="shared" si="15"/>
        <v>0</v>
      </c>
      <c r="AK18" s="184">
        <f t="shared" si="15"/>
        <v>3</v>
      </c>
      <c r="AL18" s="184">
        <f t="shared" si="15"/>
        <v>182</v>
      </c>
      <c r="AM18" s="184">
        <f t="shared" si="15"/>
        <v>178</v>
      </c>
      <c r="AN18" s="184">
        <f t="shared" si="15"/>
        <v>7</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2032</v>
      </c>
      <c r="AZ18" s="184">
        <f>SUBTOTAL(9,AZ14:AZ17)</f>
        <v>10175</v>
      </c>
      <c r="BA18" s="184">
        <f>SUBTOTAL(9,BA14:BA17)</f>
        <v>9402</v>
      </c>
      <c r="BB18" s="184">
        <f>SUBTOTAL(9,BB14:BB17)</f>
        <v>2974</v>
      </c>
      <c r="BC18" s="184">
        <f>SUBTOTAL(9,BC14:BC17)</f>
        <v>1310</v>
      </c>
      <c r="BD18" s="205">
        <f>IF(ISNUMBER(BA18/AZ18),BA18/AZ18," - ")</f>
        <v>0.92402948402948404</v>
      </c>
      <c r="BE18" s="206">
        <f>IF(ISNUMBER(BB18/BA18),BB18/BA18, " - ")</f>
        <v>0.31631567751542228</v>
      </c>
      <c r="BF18" s="206">
        <f>IF(ISNUMBER(BC18/BA18),BC18/BA18, " - ")</f>
        <v>0.139332057009147</v>
      </c>
      <c r="BG18" s="207">
        <f>IF(ISNUMBER((AY18+AZ18)/BA18),(AY18+AZ18)/BA18," - ")</f>
        <v>1.2983407785577536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11838</v>
      </c>
      <c r="J19" s="134">
        <f t="shared" si="18"/>
        <v>25277</v>
      </c>
      <c r="K19" s="134">
        <f t="shared" si="18"/>
        <v>26790</v>
      </c>
      <c r="L19" s="134">
        <f t="shared" si="18"/>
        <v>10575</v>
      </c>
      <c r="M19" s="134">
        <f t="shared" si="18"/>
        <v>5508</v>
      </c>
      <c r="N19" s="134">
        <f t="shared" si="18"/>
        <v>14213</v>
      </c>
      <c r="O19" s="134">
        <f t="shared" si="18"/>
        <v>7862</v>
      </c>
      <c r="P19" s="134">
        <f t="shared" si="18"/>
        <v>4432</v>
      </c>
      <c r="Q19" s="134">
        <f t="shared" si="18"/>
        <v>6895</v>
      </c>
      <c r="R19" s="134">
        <f t="shared" si="18"/>
        <v>14239</v>
      </c>
      <c r="S19" s="134">
        <f t="shared" si="18"/>
        <v>9583</v>
      </c>
      <c r="T19" s="134">
        <f t="shared" si="18"/>
        <v>24664</v>
      </c>
      <c r="U19" s="134">
        <f t="shared" si="18"/>
        <v>22178</v>
      </c>
      <c r="V19" s="134">
        <f t="shared" si="18"/>
        <v>11838</v>
      </c>
      <c r="W19" s="134">
        <f t="shared" si="18"/>
        <v>4090</v>
      </c>
      <c r="X19" s="134">
        <f t="shared" si="18"/>
        <v>12302</v>
      </c>
      <c r="Y19" s="134">
        <f t="shared" si="18"/>
        <v>314</v>
      </c>
      <c r="Z19" s="134">
        <f t="shared" si="18"/>
        <v>962</v>
      </c>
      <c r="AA19" s="134">
        <f t="shared" si="18"/>
        <v>880</v>
      </c>
      <c r="AB19" s="134">
        <f t="shared" si="18"/>
        <v>401</v>
      </c>
      <c r="AC19" s="134">
        <f t="shared" si="18"/>
        <v>7</v>
      </c>
      <c r="AD19" s="134">
        <f t="shared" si="18"/>
        <v>154</v>
      </c>
      <c r="AE19" s="134">
        <f t="shared" si="18"/>
        <v>160</v>
      </c>
      <c r="AF19" s="134">
        <f t="shared" si="18"/>
        <v>1</v>
      </c>
      <c r="AG19" s="134">
        <f t="shared" si="18"/>
        <v>329</v>
      </c>
      <c r="AH19" s="134">
        <f t="shared" si="18"/>
        <v>1030</v>
      </c>
      <c r="AI19" s="134">
        <f t="shared" si="18"/>
        <v>942</v>
      </c>
      <c r="AJ19" s="134">
        <f t="shared" si="18"/>
        <v>314</v>
      </c>
      <c r="AK19" s="134">
        <f t="shared" si="18"/>
        <v>3</v>
      </c>
      <c r="AL19" s="134">
        <f t="shared" si="18"/>
        <v>182</v>
      </c>
      <c r="AM19" s="134">
        <f t="shared" si="18"/>
        <v>178</v>
      </c>
      <c r="AN19" s="210">
        <f t="shared" si="18"/>
        <v>7</v>
      </c>
      <c r="AO19" s="211">
        <v>14</v>
      </c>
      <c r="AP19" s="211">
        <v>14</v>
      </c>
      <c r="AQ19" s="211">
        <v>14</v>
      </c>
      <c r="AR19" s="211">
        <v>14</v>
      </c>
      <c r="AS19" s="153">
        <f t="shared" si="18"/>
        <v>0</v>
      </c>
      <c r="AT19" s="153">
        <f t="shared" si="18"/>
        <v>0</v>
      </c>
      <c r="AU19" s="211"/>
      <c r="AV19" s="212"/>
      <c r="AW19" s="211"/>
      <c r="AX19" s="212"/>
      <c r="AY19" s="133">
        <f>SUBTOTAL(9,AY9:AY18)</f>
        <v>9912</v>
      </c>
      <c r="AZ19" s="134">
        <f>SUBTOTAL(9,AZ9:AZ18)</f>
        <v>25694</v>
      </c>
      <c r="BA19" s="134">
        <f>SUBTOTAL(9,BA9:BA18)</f>
        <v>23120</v>
      </c>
      <c r="BB19" s="134">
        <f>SUBTOTAL(9,BB9:BB18)</f>
        <v>12152</v>
      </c>
      <c r="BC19" s="135">
        <f>SUBTOTAL(9,BC9:BC18)</f>
        <v>8301</v>
      </c>
      <c r="BD19" s="213">
        <f>IF(ISNUMBER(BA19/AZ19),BA19/AZ19," - ")</f>
        <v>0.89982096987623572</v>
      </c>
      <c r="BE19" s="210">
        <f>IF(ISNUMBER(BB19/BA19),BB19/BA19, " - ")</f>
        <v>0.52560553633217988</v>
      </c>
      <c r="BF19" s="210">
        <f>IF(ISNUMBER(BC19/BA19),BC19/BA19, " - ")</f>
        <v>0.35903979238754324</v>
      </c>
      <c r="BG19" s="135">
        <f>IF(ISNUMBER((AY19+AZ19)/BA19),(AY19+AZ19)/BA19," - ")</f>
        <v>1.5400519031141868</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V12RxgtNcEsRjHaMd16IkxQcMzEemnQ716xvoEzlAAsa3Z9iJureO74zPE9m3c9QZ9WXLq8Lqw7qnOX/1k47g==" saltValue="/VgI4g5F7cL7+emP9PzK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sAgLF0F9jrbe/oHD1Jk+OVFKV+fvQPgQowatC+Uvd7VlrS1I+vpXc/xh2p+SgMMgfQ8ZV0tX8vmJ3qgVHuEjQ==" saltValue="o8HrEHNFC1KgVDGZpXpN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TERRASSA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443</v>
      </c>
      <c r="O9" s="334"/>
      <c r="P9" s="334"/>
      <c r="Q9" s="226">
        <f>IF(ISNUMBER(Datos!P9),Datos!P9,0)</f>
        <v>3769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5833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55</v>
      </c>
      <c r="AI9" s="334" t="str">
        <f>IF(ISNUMBER(Datos!CD9),Datos!CD9,"-")</f>
        <v>-</v>
      </c>
      <c r="AJ9" s="334" t="str">
        <f>IF(ISNUMBER(Datos!EN9),Datos!EN9," - ")</f>
        <v xml:space="preserve"> - </v>
      </c>
      <c r="AK9" s="334"/>
      <c r="AL9" s="479"/>
      <c r="AM9" s="335">
        <f>IF(ISNUMBER(Datos!R9),Datos!R9," - ")</f>
        <v>13264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3174</v>
      </c>
      <c r="BD9" s="229">
        <f>IF(ISNUMBER(Datos!N9),Datos!N9," - ")</f>
        <v>6144</v>
      </c>
      <c r="BE9" s="229" t="str">
        <f>IF(ISNUMBER(Datos!BW9),Datos!BW9," - ")</f>
        <v xml:space="preserve"> - </v>
      </c>
      <c r="BF9" s="228" t="str">
        <f>IF(ISNUMBER(Datos!BX9),Datos!BX9," - ")</f>
        <v xml:space="preserve"> - </v>
      </c>
      <c r="BG9" s="243">
        <f>IF(ISNUMBER(IF(J_V="SI",Datos!K9/Datos!J9,(Datos!K9+Datos!AA9)/(Datos!J9+Datos!Z9))),IF(J_V="SI",Datos!K9/Datos!J9,(Datos!K9+Datos!AA9)/(Datos!J9+Datos!Z9))," - ")</f>
        <v>1.1080347881592596</v>
      </c>
      <c r="BH9" s="260">
        <f>IF(ISNUMBER(((IF(J_V="SI",Datos!L9/Datos!K9,(Datos!L9+Datos!AB9)/(Datos!K9+Datos!AA9)))*11)/factor_trimestre),((IF(J_V="SI",Datos!L9/Datos!K9,(Datos!L9+Datos!AB9)/(Datos!K9+Datos!AA9)))*11)/factor_trimestre," - ")</f>
        <v>5.3079138762871754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-0.13465553235908143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76</v>
      </c>
      <c r="G10" s="333">
        <f>IF(ISNUMBER(Datos!I10),Datos!I10," - ")</f>
        <v>76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175</v>
      </c>
      <c r="AC10" s="226">
        <f>IF(ISNUMBER(Datos!Q10),Datos!Q10," - ")</f>
        <v>24</v>
      </c>
      <c r="AD10" s="334"/>
      <c r="AE10" s="484"/>
      <c r="AF10" s="332">
        <f>IF(ISNUMBER(Datos!L10),Datos!L10,"-")</f>
        <v>76</v>
      </c>
      <c r="AG10" s="334"/>
      <c r="AH10" s="334"/>
      <c r="AI10" s="334"/>
      <c r="AJ10" s="334"/>
      <c r="AK10" s="334"/>
      <c r="AL10" s="479"/>
      <c r="AM10" s="335">
        <f>IF(ISNUMBER(Datos!R10),Datos!R10," - ")</f>
        <v>250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44</v>
      </c>
      <c r="BD10" s="229">
        <f>IF(ISNUMBER(Datos!N10),Datos!N10," - ")</f>
        <v>83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4.7771428571428567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4.0160642570281121E-3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519</v>
      </c>
      <c r="O11" s="334"/>
      <c r="P11" s="334"/>
      <c r="Q11" s="226">
        <f>IF(ISNUMBER(Datos!P11),Datos!P11,0)</f>
        <v>241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628</v>
      </c>
      <c r="AD11" s="334"/>
      <c r="AE11" s="484"/>
      <c r="AF11" s="332" t="str">
        <f>IF(ISNUMBER(IF(J_V="SI",Datos!L11,Datos!L11+Datos!AB11)-IF(Monitorios="SI",Datos!CD11,0)),
                          IF(J_V="SI",Datos!L11,Datos!L11+Datos!AB11)-IF(Monitorios="SI",Datos!CD11,0),
                          " - ")</f>
        <v xml:space="preserve"> - </v>
      </c>
      <c r="AG11" s="334"/>
      <c r="AH11" s="334">
        <f>IF(ISNUMBER(Datos!AB11),Datos!AB11,"-")</f>
        <v>346</v>
      </c>
      <c r="AI11" s="334"/>
      <c r="AJ11" s="334"/>
      <c r="AK11" s="334"/>
      <c r="AL11" s="479"/>
      <c r="AM11" s="335">
        <f>IF(ISNUMBER(Datos!R11),Datos!R11," - ")</f>
        <v>415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764</v>
      </c>
      <c r="BD11" s="229">
        <f>IF(ISNUMBER(Datos!N11),Datos!N11," - ")</f>
        <v>1096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0.9942196531791907</v>
      </c>
      <c r="BH11" s="260">
        <f>IF(ISNUMBER(((IF(J_V="SI",Datos!L11/Datos!K11,(Datos!L11+Datos!AB11)/(Datos!K11+Datos!AA11)))*11)/factor_trimestre),((IF(J_V="SI",Datos!L11/Datos!K11,(Datos!L11+Datos!AB11)/(Datos!K11+Datos!AA11)))*11)/factor_trimestre," - ")</f>
        <v>5.4065295169946337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-0.48254364089775559</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10</v>
      </c>
      <c r="F13" s="898">
        <f t="shared" si="0"/>
        <v>76</v>
      </c>
      <c r="G13" s="898">
        <f t="shared" si="0"/>
        <v>76</v>
      </c>
      <c r="H13" s="899">
        <f t="shared" si="0"/>
        <v>0</v>
      </c>
      <c r="I13" s="898">
        <f t="shared" si="0"/>
        <v>0</v>
      </c>
      <c r="J13" s="867">
        <f t="shared" si="0"/>
        <v>0</v>
      </c>
      <c r="K13" s="867">
        <f t="shared" si="0"/>
        <v>0</v>
      </c>
      <c r="L13" s="899">
        <f t="shared" si="0"/>
        <v>0</v>
      </c>
      <c r="M13" s="899">
        <f t="shared" si="0"/>
        <v>0</v>
      </c>
      <c r="N13" s="899">
        <f t="shared" si="0"/>
        <v>962</v>
      </c>
      <c r="O13" s="900">
        <f t="shared" si="0"/>
        <v>0</v>
      </c>
      <c r="P13" s="900">
        <f t="shared" si="0"/>
        <v>0</v>
      </c>
      <c r="Q13" s="899">
        <f t="shared" si="0"/>
        <v>4035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175</v>
      </c>
      <c r="AC13" s="899">
        <f t="shared" si="1"/>
        <v>6485</v>
      </c>
      <c r="AD13" s="899">
        <f t="shared" si="1"/>
        <v>0</v>
      </c>
      <c r="AE13" s="899">
        <f t="shared" si="1"/>
        <v>0</v>
      </c>
      <c r="AF13" s="899">
        <f t="shared" si="1"/>
        <v>76</v>
      </c>
      <c r="AG13" s="899">
        <f t="shared" si="1"/>
        <v>0</v>
      </c>
      <c r="AH13" s="899">
        <f t="shared" si="1"/>
        <v>401</v>
      </c>
      <c r="AI13" s="899">
        <f t="shared" si="1"/>
        <v>0</v>
      </c>
      <c r="AJ13" s="899">
        <f t="shared" si="1"/>
        <v>0</v>
      </c>
      <c r="AK13" s="899">
        <f t="shared" si="1"/>
        <v>0</v>
      </c>
      <c r="AL13" s="899">
        <f t="shared" si="1"/>
        <v>0</v>
      </c>
      <c r="AM13" s="899">
        <f t="shared" si="1"/>
        <v>13929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3982</v>
      </c>
      <c r="BD13" s="899">
        <f t="shared" si="1"/>
        <v>7323</v>
      </c>
      <c r="BE13" s="899">
        <f t="shared" si="1"/>
        <v>0</v>
      </c>
      <c r="BF13" s="899">
        <f t="shared" si="1"/>
        <v>0</v>
      </c>
      <c r="BG13" s="899">
        <f>IF(ISNUMBER(Datos!K13/Datos!J13),Datos!K13/Datos!J13," - ")</f>
        <v>1.1016791711325473</v>
      </c>
      <c r="BH13" s="903">
        <f>IF(ISNUMBER(((Datos!L13/Datos!K13)*11)/factor_trimestre),((Datos!L13/Datos!K13)*11)/factor_trimestre," - ")</f>
        <v>5.3330522765598651</v>
      </c>
      <c r="BI13" s="899">
        <f>IF(ISNUMBER('Resol  Asuntos'!D13/NºAsuntos!G13),'Resol  Asuntos'!D13/NºAsuntos!G13," - ")</f>
        <v>0.24432445698858757</v>
      </c>
      <c r="BJ13" s="899" t="str">
        <f>IF(ISNUMBER(Datos!CI13/Datos!CJ13),Datos!CI13/Datos!CJ13," - ")</f>
        <v xml:space="preserve"> - </v>
      </c>
      <c r="BK13" s="899">
        <f>SUBTOTAL(9,BK8:BK12)</f>
        <v>0</v>
      </c>
      <c r="BL13" s="899">
        <f>IF(ISNUMBER((I13-AB13+L13)/(F13)),(I13-AB13+L13)/(F13)," - ")</f>
        <v>-2.3026315789473686</v>
      </c>
      <c r="BM13" s="904">
        <f>SUBTOTAL(9,BM9:BM12)</f>
        <v>-0.61318310899980888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3043</v>
      </c>
      <c r="G15" s="598">
        <f>IF(ISNUMBER(IF(D_I="SI",Datos!I15,Datos!I15+Datos!AC15)),IF(D_I="SI",Datos!I15,Datos!I15+Datos!AC15)," - ")</f>
        <v>2827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384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10270</v>
      </c>
      <c r="AC15" s="226">
        <f>IF(ISNUMBER(Datos!Q15),Datos!Q15," - ")</f>
        <v>401</v>
      </c>
      <c r="AD15" s="334"/>
      <c r="AE15" s="484"/>
      <c r="AF15" s="596">
        <f>IF(ISNUMBER(IF(D_I="SI",Datos!L15,Datos!L15+Datos!AF15)),IF(D_I="SI",Datos!L15,Datos!L15+Datos!AF15)," - ")</f>
        <v>2911</v>
      </c>
      <c r="AG15" s="334"/>
      <c r="AH15" s="334"/>
      <c r="AI15" s="334"/>
      <c r="AJ15" s="334"/>
      <c r="AK15" s="334"/>
      <c r="AL15" s="479"/>
      <c r="AM15" s="335">
        <f>IF(ISNUMBER(Datos!R15),Datos!R15," - ")</f>
        <v>298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1396</v>
      </c>
      <c r="BD15" s="229">
        <f>IF(ISNUMBER(Datos!N15),Datos!N15," - ")</f>
        <v>6400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1.0130203195896628</v>
      </c>
      <c r="BH15" s="260">
        <f>IF(ISNUMBER(((IF(D_I="SI",Datos!L15/Datos!K15,(Datos!L15+Datos!AF15)/(Datos!K15+Datos!AE15)))*11)/factor_trimestre),((IF(D_I="SI",Datos!L15/Datos!K15,(Datos!L15+Datos!AF15)/(Datos!K15+Datos!AE15)))*11)/factor_trimestre," - ")</f>
        <v>3.1179162609542361</v>
      </c>
      <c r="BI15" s="243">
        <f>IF(ISNUMBER('Resol  Asuntos'!D15/NºAsuntos!G15),'Resol  Asuntos'!D15/NºAsuntos!G15," - ")</f>
        <v>0.1359298928919182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1102</v>
      </c>
      <c r="AC17" s="226">
        <f>IF(ISNUMBER(Datos!Q17),Datos!Q17," - ")</f>
        <v>9</v>
      </c>
      <c r="AD17" s="334"/>
      <c r="AE17" s="484"/>
      <c r="AF17" s="332">
        <f>IF(ISNUMBER(Datos!L17),Datos!L17,"-")</f>
        <v>189</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130</v>
      </c>
      <c r="BD17" s="229">
        <f>IF(ISNUMBER(Datos!N17),Datos!N17," - ")</f>
        <v>490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0.96328671328671334</v>
      </c>
      <c r="BH17" s="260">
        <f>IF(ISNUMBER(((IF(D_I="SI",Datos!L17/Datos!K17,(Datos!L17+Datos!AF17)/(Datos!K17+Datos!AE17)))*11)/factor_trimestre),((IF(D_I="SI",Datos!L17/Datos!K17,(Datos!L17+Datos!AF17)/(Datos!K17+Datos!AE17)))*11)/factor_trimestre," - ")</f>
        <v>1.8865698729582578</v>
      </c>
      <c r="BI17" s="243">
        <f>IF(ISNUMBER('Resol  Asuntos'!D17/NºAsuntos!G17),'Resol  Asuntos'!D17/NºAsuntos!G17," - ")</f>
        <v>0.11796733212341198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3043</v>
      </c>
      <c r="G18" s="898">
        <f>SUBTOTAL(9,G15:G17)</f>
        <v>2974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11372</v>
      </c>
      <c r="AC18" s="899">
        <f t="shared" si="4"/>
        <v>410</v>
      </c>
      <c r="AD18" s="899">
        <f t="shared" si="4"/>
        <v>0</v>
      </c>
      <c r="AE18" s="899">
        <f t="shared" si="4"/>
        <v>0</v>
      </c>
      <c r="AF18" s="899">
        <f t="shared" si="4"/>
        <v>3100</v>
      </c>
      <c r="AG18" s="899">
        <f t="shared" si="4"/>
        <v>0</v>
      </c>
      <c r="AH18" s="899">
        <f t="shared" si="4"/>
        <v>0</v>
      </c>
      <c r="AI18" s="899">
        <f t="shared" si="4"/>
        <v>0</v>
      </c>
      <c r="AJ18" s="899">
        <f t="shared" si="4"/>
        <v>0</v>
      </c>
      <c r="AK18" s="899">
        <f t="shared" si="4"/>
        <v>0</v>
      </c>
      <c r="AL18" s="899">
        <f t="shared" si="4"/>
        <v>0</v>
      </c>
      <c r="AM18" s="899">
        <f t="shared" si="4"/>
        <v>310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1526</v>
      </c>
      <c r="BD18" s="899">
        <f t="shared" si="4"/>
        <v>6890</v>
      </c>
      <c r="BE18" s="899">
        <f t="shared" si="4"/>
        <v>0</v>
      </c>
      <c r="BF18" s="899">
        <f t="shared" si="4"/>
        <v>0</v>
      </c>
      <c r="BG18" s="899">
        <f>IF(ISNUMBER(Datos!K18/Datos!J18),Datos!K18/Datos!J18," - ")</f>
        <v>1.0079773089877682</v>
      </c>
      <c r="BH18" s="903">
        <f>IF(ISNUMBER(((Datos!L18/Datos!K18)*11)/factor_trimestre),((Datos!L18/Datos!K18)*11)/factor_trimestre," - ")</f>
        <v>2.998593035525853</v>
      </c>
      <c r="BI18" s="899">
        <f>SUBTOTAL(9,BI15:BI17)</f>
        <v>0.25389722501533019</v>
      </c>
      <c r="BJ18" s="899">
        <f>SUBTOTAL(9,BJ15:BJ17)</f>
        <v>0</v>
      </c>
      <c r="BK18" s="899">
        <f>SUBTOTAL(9,BK15:BK17)</f>
        <v>0</v>
      </c>
      <c r="BL18" s="899">
        <f>IF(ISNUMBER((I18-AB18+L18)/(F18)),(I18-AB18+L18)/(F18)," - ")</f>
        <v>-3.7371015445284259</v>
      </c>
      <c r="BM18" s="905">
        <f>IF(ISNUMBER((Datos!P18-Datos!Q18)/(Datos!R18-Datos!P18+Datos!Q18)),(Datos!P18-Datos!Q18)/(Datos!R18-Datos!P18+Datos!Q18)," - ")</f>
        <v>-4.0247678018575851E-2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15</v>
      </c>
      <c r="F19" s="820">
        <f t="shared" si="6"/>
        <v>3119</v>
      </c>
      <c r="G19" s="820">
        <f t="shared" si="6"/>
        <v>3050</v>
      </c>
      <c r="H19" s="822">
        <f t="shared" si="6"/>
        <v>0</v>
      </c>
      <c r="I19" s="820">
        <f t="shared" si="6"/>
        <v>0</v>
      </c>
      <c r="J19" s="822">
        <f t="shared" si="6"/>
        <v>0</v>
      </c>
      <c r="K19" s="822">
        <f t="shared" si="6"/>
        <v>0</v>
      </c>
      <c r="L19" s="881">
        <f t="shared" si="6"/>
        <v>0</v>
      </c>
      <c r="M19" s="881">
        <f t="shared" si="6"/>
        <v>0</v>
      </c>
      <c r="N19" s="881">
        <f t="shared" si="6"/>
        <v>962</v>
      </c>
      <c r="O19" s="881">
        <f t="shared" si="6"/>
        <v>0</v>
      </c>
      <c r="P19" s="881">
        <f t="shared" si="6"/>
        <v>0</v>
      </c>
      <c r="Q19" s="822">
        <f t="shared" si="6"/>
        <v>4432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11547</v>
      </c>
      <c r="AC19" s="821">
        <f t="shared" si="7"/>
        <v>6895</v>
      </c>
      <c r="AD19" s="821">
        <f t="shared" si="7"/>
        <v>0</v>
      </c>
      <c r="AE19" s="821">
        <f t="shared" si="7"/>
        <v>0</v>
      </c>
      <c r="AF19" s="828">
        <f t="shared" si="7"/>
        <v>3176</v>
      </c>
      <c r="AG19" s="828">
        <f t="shared" si="7"/>
        <v>0</v>
      </c>
      <c r="AH19" s="828">
        <f t="shared" si="7"/>
        <v>401</v>
      </c>
      <c r="AI19" s="828">
        <f t="shared" si="7"/>
        <v>0</v>
      </c>
      <c r="AJ19" s="821">
        <f t="shared" si="7"/>
        <v>0</v>
      </c>
      <c r="AK19" s="828">
        <f t="shared" si="7"/>
        <v>0</v>
      </c>
      <c r="AL19" s="828">
        <f t="shared" si="7"/>
        <v>0</v>
      </c>
      <c r="AM19" s="828">
        <f t="shared" si="7"/>
        <v>14239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5508</v>
      </c>
      <c r="BD19" s="820">
        <f t="shared" si="7"/>
        <v>14213</v>
      </c>
      <c r="BE19" s="820">
        <f t="shared" si="7"/>
        <v>0</v>
      </c>
      <c r="BF19" s="830">
        <f t="shared" si="7"/>
        <v>0</v>
      </c>
      <c r="BG19" s="915">
        <f>IF(ISNUMBER(Datos!K19/Datos!J19),Datos!K19/Datos!J19," - ")</f>
        <v>1.0598567868022313</v>
      </c>
      <c r="BH19" s="915">
        <f>IF(ISNUMBER(((Datos!L19/Datos!K19)*11)/factor_trimestre),((Datos!L19/Datos!K19)*11)/factor_trimestre," - ")</f>
        <v>4.3421052631578947</v>
      </c>
      <c r="BI19" s="813">
        <f>IF(ISNUMBER(Datos!J19/Datos!I19),Datos!J19/Datos!I19," - ")</f>
        <v>2.1352424396012841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-3.7021481243988457</v>
      </c>
      <c r="BM19" s="889">
        <f>IF(ISNUMBER((Datos!P19-Datos!Q19+R19)/(Datos!R19-Datos!P19+Datos!Q19-R19)),(Datos!P19-Datos!Q19+R19)/(Datos!R19-Datos!P19+Datos!Q19-R19)," - ")</f>
        <v>-0.14746736917734404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1220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1712.9982486856197</v>
      </c>
      <c r="G21" s="552">
        <f>IF(ISNUMBER(STDEV(G8:G18)),STDEV(G8:G18),"-")</f>
        <v>1535.233369882247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5687.8020974713945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1498.5875254480704</v>
      </c>
      <c r="BD21" s="551"/>
      <c r="BE21" s="551">
        <f>IF(ISNUMBER(STDEV(BE8:BE18)),STDEV(BE8:BE18),"-")</f>
        <v>0</v>
      </c>
      <c r="BF21" s="556">
        <f>IF(ISNUMBER(STDEV(BF8:BF18)),STDEV(BF8:BF18),"-")</f>
        <v>0</v>
      </c>
      <c r="BG21" s="775">
        <f>IF(ISNUMBER(STDEV(BG8:BG18)),STDEV(BG8:BG18),"-")</f>
        <v>5.5623370989644615E-2</v>
      </c>
      <c r="BH21" s="776">
        <f>IF(ISNUMBER(STDEV(BH8:BH18)),STDEV(BH8:BH18),"-")</f>
        <v>1.4270916881097806</v>
      </c>
      <c r="BI21" s="249">
        <f>IF(ISNUMBER(STDEV(BI8:BI18)),STDEV(BI8:BI18),"-")</f>
        <v>7.101820379128175E-2</v>
      </c>
      <c r="BJ21" s="230" t="str">
        <f>IF(ISNUMBER(BL21/BM21),BL21/BM21," - ")</f>
        <v xml:space="preserve"> - </v>
      </c>
      <c r="BK21" s="575"/>
      <c r="BL21" s="559">
        <f>IF(ISNUMBER(STDEV(BL8:BL18)),STDEV(BL8:BL18),"-")</f>
        <v>1.0143234400707986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uedujQkMSQ1B0pFvfM+xPnwSeBuZtu96vbMD/k11fSD+xR35pZYucvlm1YRMKODvV0tJB4lFtCzYeQeumWcFUQ==" saltValue="8JcNn79+wuY5r6wLoUwt1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TERRASSA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3769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5833</v>
      </c>
      <c r="AA9" s="332" t="str">
        <f>IF(ISNUMBER(IF(J_V="SI",Datos!L9,Datos!L9+Datos!AB9)-IF(Monitorios="SI",Datos!CD9,0)),
                          IF(J_V="SI",Datos!L9,Datos!L9+Datos!AB9)-IF(Monitorios="SI",Datos!CD9,0),
                          " - ")</f>
        <v xml:space="preserve"> - </v>
      </c>
      <c r="AB9" s="334"/>
      <c r="AC9" s="334"/>
      <c r="AD9" s="484"/>
      <c r="AE9" s="484">
        <f>IF(ISNUMBER(Datos!R9),Datos!R9," - ")</f>
        <v>13264</v>
      </c>
      <c r="AF9" s="229" t="str">
        <f>IF(ISNUMBER(Datos!BV9),Datos!BV9," - ")</f>
        <v xml:space="preserve"> - </v>
      </c>
      <c r="AG9" s="225" t="str">
        <f>IF(ISNUMBER(Datos!DV9),Datos!DV9," - ")</f>
        <v xml:space="preserve"> - </v>
      </c>
      <c r="AH9" s="298"/>
      <c r="AI9" s="227"/>
      <c r="AJ9" s="225">
        <f>IF(ISNUMBER(Datos!M9),Datos!M9," - ")</f>
        <v>3174</v>
      </c>
      <c r="AK9" s="229">
        <f>IF(ISNUMBER(Datos!N9),Datos!N9," - ")</f>
        <v>6144</v>
      </c>
      <c r="AL9" s="229" t="str">
        <f>IF(ISNUMBER(Datos!BW9),Datos!BW9," - ")</f>
        <v xml:space="preserve"> - </v>
      </c>
      <c r="AM9" s="228" t="str">
        <f>IF(ISNUMBER(Datos!BX9),Datos!BX9," - ")</f>
        <v xml:space="preserve"> - </v>
      </c>
      <c r="AN9" s="243"/>
      <c r="AO9" s="260">
        <f>IF(ISNUMBER(((NºAsuntos!I9/NºAsuntos!G9)*11)/factor_trimestre),((NºAsuntos!I9/NºAsuntos!G9)*11)/factor_trimestre," - ")</f>
        <v>5.3079138762871754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-0.13465553235908143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76</v>
      </c>
      <c r="G10" s="225">
        <f>IF(ISNUMBER(Datos!I10),Datos!I10," - ")</f>
        <v>76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175</v>
      </c>
      <c r="Z10" s="619">
        <f>IF(ISNUMBER(Datos!Q10),Datos!Q10," - ")</f>
        <v>24</v>
      </c>
      <c r="AA10" s="332">
        <f>IF(ISNUMBER(Datos!L10),Datos!L10,"-")</f>
        <v>76</v>
      </c>
      <c r="AB10" s="334"/>
      <c r="AC10" s="334"/>
      <c r="AD10" s="484"/>
      <c r="AE10" s="484">
        <f>IF(ISNUMBER(Datos!R10),Datos!R10," - ")</f>
        <v>250</v>
      </c>
      <c r="AF10" s="229" t="str">
        <f>IF(ISNUMBER(Datos!BV10),Datos!BV10," - ")</f>
        <v xml:space="preserve"> - </v>
      </c>
      <c r="AG10" s="225" t="str">
        <f>IF(ISNUMBER(Datos!DV10),Datos!DV10," - ")</f>
        <v xml:space="preserve"> - </v>
      </c>
      <c r="AH10" s="298"/>
      <c r="AI10" s="227"/>
      <c r="AJ10" s="225">
        <f>IF(ISNUMBER(Datos!M10),Datos!M10," - ")</f>
        <v>44</v>
      </c>
      <c r="AK10" s="229">
        <f>IF(ISNUMBER(Datos!N10),Datos!N10," - ")</f>
        <v>83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4.7771428571428567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4.0160642570281121E-3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241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628</v>
      </c>
      <c r="AA11" s="332" t="str">
        <f>IF(ISNUMBER(IF(J_V="SI",Datos!L11,Datos!L11+Datos!AB11)-IF(Monitorios="SI",Datos!CD11,0)),
                          IF(J_V="SI",Datos!L11,Datos!L11+Datos!AB11)-IF(Monitorios="SI",Datos!CD11,0),
                          " - ")</f>
        <v xml:space="preserve"> - </v>
      </c>
      <c r="AB11" s="334"/>
      <c r="AC11" s="334"/>
      <c r="AD11" s="484"/>
      <c r="AE11" s="484">
        <f>IF(ISNUMBER(Datos!R11),Datos!R11," - ")</f>
        <v>415</v>
      </c>
      <c r="AF11" s="229" t="str">
        <f>IF(ISNUMBER(Datos!BV11),Datos!BV11," - ")</f>
        <v xml:space="preserve"> - </v>
      </c>
      <c r="AG11" s="225" t="str">
        <f>IF(ISNUMBER(Datos!DV11),Datos!DV11," - ")</f>
        <v xml:space="preserve"> - </v>
      </c>
      <c r="AH11" s="298"/>
      <c r="AI11" s="227"/>
      <c r="AJ11" s="225">
        <f>IF(ISNUMBER(Datos!M11),Datos!M11," - ")</f>
        <v>764</v>
      </c>
      <c r="AK11" s="229">
        <f>IF(ISNUMBER(Datos!N11),Datos!N11," - ")</f>
        <v>1096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5.4065295169946337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-0.48254364089775559</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10</v>
      </c>
      <c r="F13" s="898">
        <f>SUBTOTAL(9,F8:F12)</f>
        <v>76</v>
      </c>
      <c r="G13" s="898">
        <f>SUBTOTAL(9,G8:G12)</f>
        <v>76</v>
      </c>
      <c r="H13" s="908"/>
      <c r="I13" s="898">
        <f t="shared" ref="I13:N13" si="0">SUBTOTAL(9,I8:I12)</f>
        <v>0</v>
      </c>
      <c r="J13" s="867">
        <f t="shared" si="0"/>
        <v>0</v>
      </c>
      <c r="K13" s="908">
        <f t="shared" si="0"/>
        <v>0</v>
      </c>
      <c r="L13" s="908">
        <f t="shared" si="0"/>
        <v>0</v>
      </c>
      <c r="M13" s="908">
        <f t="shared" si="0"/>
        <v>0</v>
      </c>
      <c r="N13" s="908">
        <f t="shared" si="0"/>
        <v>4035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175</v>
      </c>
      <c r="Z13" s="907">
        <f t="shared" si="2"/>
        <v>6485</v>
      </c>
      <c r="AA13" s="900">
        <f t="shared" si="2"/>
        <v>76</v>
      </c>
      <c r="AB13" s="900">
        <f t="shared" si="2"/>
        <v>0</v>
      </c>
      <c r="AC13" s="900">
        <f t="shared" si="2"/>
        <v>0</v>
      </c>
      <c r="AD13" s="900">
        <f t="shared" si="2"/>
        <v>0</v>
      </c>
      <c r="AE13" s="900">
        <f t="shared" si="2"/>
        <v>13929</v>
      </c>
      <c r="AF13" s="908">
        <f t="shared" si="2"/>
        <v>0</v>
      </c>
      <c r="AG13" s="908">
        <f t="shared" si="2"/>
        <v>0</v>
      </c>
      <c r="AH13" s="908">
        <f t="shared" si="2"/>
        <v>0</v>
      </c>
      <c r="AI13" s="908">
        <f t="shared" si="2"/>
        <v>0</v>
      </c>
      <c r="AJ13" s="908">
        <f t="shared" si="2"/>
        <v>3982</v>
      </c>
      <c r="AK13" s="908">
        <f t="shared" si="2"/>
        <v>7323</v>
      </c>
      <c r="AL13" s="908">
        <f t="shared" si="2"/>
        <v>0</v>
      </c>
      <c r="AM13" s="908">
        <f t="shared" si="2"/>
        <v>0</v>
      </c>
      <c r="AN13" s="908">
        <f t="shared" si="2"/>
        <v>0</v>
      </c>
      <c r="AO13" s="904">
        <f>IF(ISNUMBER(((NºAsuntos!I13/NºAsuntos!G13)*11)/factor_trimestre),((NºAsuntos!I13/NºAsuntos!G13)*11)/factor_trimestre," - ")</f>
        <v>5.3157442630997664</v>
      </c>
      <c r="AP13" s="910" t="str">
        <f>IF(ISNUMBER(Datos!CI13/Datos!CJ13),Datos!CI13/Datos!CJ13," - ")</f>
        <v xml:space="preserve"> - </v>
      </c>
      <c r="AQ13" s="928">
        <f t="shared" ref="AQ13:AV13" si="3">SUBTOTAL(9,AQ9:AQ12)</f>
        <v>0</v>
      </c>
      <c r="AR13" s="928">
        <f t="shared" si="3"/>
        <v>-0.61318310899980888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3043</v>
      </c>
      <c r="G15" s="225">
        <f>IF(ISNUMBER(IF(D_I="SI",Datos!I15,Datos!I15+Datos!AC15)),IF(D_I="SI",Datos!I15,Datos!I15+Datos!AC15)," - ")</f>
        <v>2827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384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10270</v>
      </c>
      <c r="Z15" s="619">
        <f>IF(ISNUMBER(Datos!Q15),Datos!Q15," - ")</f>
        <v>401</v>
      </c>
      <c r="AA15" s="332">
        <f>IF(ISNUMBER(IF(D_I="SI",Datos!L15,Datos!L15+Datos!AF15)),IF(D_I="SI",Datos!L15,Datos!L15+Datos!AF15)," - ")</f>
        <v>2911</v>
      </c>
      <c r="AB15" s="334"/>
      <c r="AC15" s="334"/>
      <c r="AD15" s="484"/>
      <c r="AE15" s="484">
        <f>IF(ISNUMBER(Datos!R15),Datos!R15," - ")</f>
        <v>298</v>
      </c>
      <c r="AF15" s="229" t="str">
        <f>IF(ISNUMBER(Datos!BV15),Datos!BV15," - ")</f>
        <v xml:space="preserve"> - </v>
      </c>
      <c r="AG15" s="225"/>
      <c r="AH15" s="298"/>
      <c r="AI15" s="227"/>
      <c r="AJ15" s="225">
        <f>IF(ISNUMBER(Datos!M15),Datos!M15," - ")</f>
        <v>1396</v>
      </c>
      <c r="AK15" s="229">
        <f>IF(ISNUMBER(Datos!N15),Datos!N15," - ")</f>
        <v>6400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3.1179162609542361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1102</v>
      </c>
      <c r="Z17" s="619">
        <f>IF(ISNUMBER(Datos!Q17),Datos!Q17," - ")</f>
        <v>9</v>
      </c>
      <c r="AA17" s="332">
        <f>IF(ISNUMBER(Datos!L17),Datos!L17,"-")</f>
        <v>189</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130</v>
      </c>
      <c r="AK17" s="229">
        <f>IF(ISNUMBER(Datos!N17),Datos!N17," - ")</f>
        <v>490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1.8865698729582578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3043</v>
      </c>
      <c r="G18" s="898">
        <f>SUBTOTAL(9,G15:G17)</f>
        <v>2974</v>
      </c>
      <c r="H18" s="932">
        <f>SUBTOTAL(9,H15:H17)</f>
        <v>0</v>
      </c>
      <c r="I18" s="911">
        <f>SUBTOTAL(9,I15:I17)</f>
        <v>0</v>
      </c>
      <c r="J18" s="867">
        <f>SUBTOTAL(9,J14:J17)</f>
        <v>0</v>
      </c>
      <c r="K18" s="932">
        <f t="shared" ref="K18:S18" si="4">SUBTOTAL(9,K15:K17)</f>
        <v>0</v>
      </c>
      <c r="L18" s="932">
        <f t="shared" si="4"/>
        <v>0</v>
      </c>
      <c r="M18" s="932">
        <f t="shared" si="4"/>
        <v>0</v>
      </c>
      <c r="N18" s="932">
        <f t="shared" si="4"/>
        <v>397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11372</v>
      </c>
      <c r="Z18" s="932">
        <f t="shared" si="5"/>
        <v>410</v>
      </c>
      <c r="AA18" s="932">
        <f t="shared" si="5"/>
        <v>3100</v>
      </c>
      <c r="AB18" s="932">
        <f t="shared" si="5"/>
        <v>0</v>
      </c>
      <c r="AC18" s="932">
        <f t="shared" si="5"/>
        <v>0</v>
      </c>
      <c r="AD18" s="932">
        <f t="shared" si="5"/>
        <v>0</v>
      </c>
      <c r="AE18" s="932">
        <f t="shared" si="5"/>
        <v>310</v>
      </c>
      <c r="AF18" s="932">
        <f t="shared" si="5"/>
        <v>0</v>
      </c>
      <c r="AG18" s="932">
        <f t="shared" si="5"/>
        <v>0</v>
      </c>
      <c r="AH18" s="932">
        <f t="shared" si="5"/>
        <v>0</v>
      </c>
      <c r="AI18" s="932">
        <f t="shared" si="5"/>
        <v>0</v>
      </c>
      <c r="AJ18" s="932">
        <f t="shared" si="5"/>
        <v>1526</v>
      </c>
      <c r="AK18" s="932">
        <f t="shared" si="5"/>
        <v>6890</v>
      </c>
      <c r="AL18" s="932">
        <f t="shared" si="5"/>
        <v>0</v>
      </c>
      <c r="AM18" s="932">
        <f t="shared" si="5"/>
        <v>0</v>
      </c>
      <c r="AN18" s="932">
        <f t="shared" si="5"/>
        <v>0</v>
      </c>
      <c r="AO18" s="934">
        <f>IF(ISNUMBER(((NºAsuntos!I18/NºAsuntos!G18)*11)/factor_trimestre),((NºAsuntos!I18/NºAsuntos!G18)*11)/factor_trimestre," - ")</f>
        <v>2.998593035525853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3119</v>
      </c>
      <c r="G19" s="820">
        <f t="shared" si="7"/>
        <v>3050</v>
      </c>
      <c r="H19" s="821">
        <f t="shared" si="7"/>
        <v>0</v>
      </c>
      <c r="I19" s="820">
        <f t="shared" si="7"/>
        <v>0</v>
      </c>
      <c r="J19" s="822">
        <f t="shared" si="7"/>
        <v>0</v>
      </c>
      <c r="K19" s="820">
        <f t="shared" si="7"/>
        <v>0</v>
      </c>
      <c r="L19" s="823">
        <f t="shared" si="7"/>
        <v>0</v>
      </c>
      <c r="M19" s="820">
        <f t="shared" si="7"/>
        <v>0</v>
      </c>
      <c r="N19" s="821">
        <f t="shared" si="7"/>
        <v>4432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11547</v>
      </c>
      <c r="Z19" s="827">
        <f t="shared" si="8"/>
        <v>6895</v>
      </c>
      <c r="AA19" s="828">
        <f t="shared" si="8"/>
        <v>3176</v>
      </c>
      <c r="AB19" s="828">
        <f t="shared" si="8"/>
        <v>0</v>
      </c>
      <c r="AC19" s="828">
        <f t="shared" si="8"/>
        <v>0</v>
      </c>
      <c r="AD19" s="829">
        <f t="shared" si="8"/>
        <v>0</v>
      </c>
      <c r="AE19" s="829">
        <f t="shared" si="8"/>
        <v>14239</v>
      </c>
      <c r="AF19" s="830">
        <f t="shared" si="8"/>
        <v>0</v>
      </c>
      <c r="AG19" s="831">
        <f t="shared" si="8"/>
        <v>0</v>
      </c>
      <c r="AH19" s="832">
        <f t="shared" si="8"/>
        <v>0</v>
      </c>
      <c r="AI19" s="830">
        <f t="shared" si="8"/>
        <v>0</v>
      </c>
      <c r="AJ19" s="820">
        <f t="shared" si="8"/>
        <v>5508</v>
      </c>
      <c r="AK19" s="820">
        <f t="shared" si="8"/>
        <v>14213</v>
      </c>
      <c r="AL19" s="820">
        <f t="shared" si="8"/>
        <v>0</v>
      </c>
      <c r="AM19" s="833">
        <f t="shared" si="8"/>
        <v>0</v>
      </c>
      <c r="AN19" s="823">
        <f>IF(ISNUMBER(Datos!K19/Datos!J19),Datos!K19/Datos!J19," - ")</f>
        <v>1.0598567868022313</v>
      </c>
      <c r="AO19" s="823">
        <f>IF(ISNUMBER(FIND("06",Criterios!A8,1)),(IF(ISNUMBER(((Datos!R19/Datos!Q19)*11)/factor_trimestre),((Datos!R19/Datos!Q19)*11)/factor_trimestre," - ")),(IF(ISNUMBER(((Datos!L19/Datos!K19)*11)/factor_trimestre),((Datos!L19/Datos!K19)*11)/factor_trimestre," - ")))</f>
        <v>4.3421052631578947</v>
      </c>
      <c r="AP19" s="834" t="str">
        <f>IF(ISNUMBER(Datos!CI19/Datos!CJ19),Datos!CI19/Datos!CJ19," - ")</f>
        <v xml:space="preserve"> - </v>
      </c>
      <c r="AQ19" s="834">
        <f>IF(OR(ISNUMBER(FIND("01",Criterios!A8,1)),ISNUMBER(FIND("02",Criterios!A8,1)),ISNUMBER(FIND("03",Criterios!A8,1)),ISNUMBER(FIND("04",Criterios!A8,1))),(J19-Y19+K19)/(F19-K19),(I19-Y19+K19)/(F19-K19))</f>
        <v>-3.7021481243988457</v>
      </c>
      <c r="AR19" s="834">
        <f>IF(ISNUMBER((Datos!P19-Datos!Q19+O19)/(Datos!R19-Datos!P19+Datos!Q19-O19)),(Datos!P19-Datos!Q19+O19)/(Datos!R19-Datos!P19+Datos!Q19-O19)," - ")</f>
        <v>-0.14746736917734404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1220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1712.9982486856197</v>
      </c>
      <c r="G21" s="552">
        <f>IF(ISNUMBER(STDEV(G8:G18)),STDEV(G8:G18),"-")</f>
        <v>1535.233369882247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1498.5875254480704</v>
      </c>
      <c r="AK21" s="252"/>
      <c r="AL21" s="252">
        <f>IF(ISNUMBER(STDEV(AL8:AL18)),STDEV(AL8:AL18),"-")</f>
        <v>0</v>
      </c>
      <c r="AM21" s="254">
        <f>IF(ISNUMBER(STDEV(AM8:AM18)),STDEV(AM8:AM18),"-")</f>
        <v>0</v>
      </c>
      <c r="AN21" s="539">
        <f>IF(ISNUMBER(STDEV(AN8:AN18)),STDEV(AN8:AN18),"-")</f>
        <v>0</v>
      </c>
      <c r="AO21" s="540">
        <f>IF(ISNUMBER(STDEV(AO8:AO18)),STDEV(AO8:AO18),"-")</f>
        <v>1.4246490270457963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ZuSZ84bira7fcngBPfX084dtguiTQv6SXajEBlW/vW0fR5sSkOUxzg1RlMJ8aHd5YpqhG+8iCOM3Dww+s+Uqg==" saltValue="B0ymhw+oKulXOqq1z/72g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4HQcLnxZsULTD6qj38aFJSdP0Z8FYqlyEBY1QHC1fYZyt4bnLojpEwr347KyWBdkpoCc8VoBaVSv1COV87S0A==" saltValue="7Ba28xfzVsr3iINWh4KB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EISV2sp3p7JFFinmG/fsRZ6kiqaKdQty8wv7J4W0XeEmlQgC/j9tjHAkRhuLGmgxMCom+8oMkbWlHaZKzxqQ==" saltValue="dgS8k74oGVBmsR2uB0ydE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TERRASSA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0.24432445698858757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0.17276348034635122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YmQILsUkVPJWUjWhcpV8xG5J2Lf3RNy0Yw1nkWVoOPsVoiGZehEJh3w398+amFYhyLN5QvOhXSQVRYn94AvdA==" saltValue="Q7z6LOM3DsZDeiQcYgy8k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l/kOOrs4M7wTPUe6+tOSW1t6oSyQytWVjDqYfQ4hAzPCCEwphuThHbzsOjOJTkVo05PzCuJHZfFImX9XhP+8A==" saltValue="0QKCHOldLY01YGCT0CAg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TERRASSA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76</v>
      </c>
      <c r="G10" s="684">
        <f>IF(ISNUMBER(Datos!I10),Datos!I10," - ")</f>
        <v>76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175</v>
      </c>
      <c r="AC10" s="683" t="str">
        <f>IF(ISNUMBER(IF(D_I="SI",DatosP!K17,DatosP!K17+DatosP!AE17)),IF(D_I="SI",DatosP!K17,DatosP!K17+DatosP!AE17)," - ")</f>
        <v xml:space="preserve"> - </v>
      </c>
      <c r="AD10" s="685"/>
      <c r="AE10" s="685"/>
      <c r="AF10" s="688">
        <f>IF(ISNUMBER(Datos!L10),Datos!L10,"-")</f>
        <v>76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44</v>
      </c>
      <c r="AM10" s="690">
        <f>IF(ISNUMBER(Datos!N10+DatosP!N17),Datos!N10+DatosP!N17," - ")</f>
        <v>83</v>
      </c>
      <c r="AN10" s="690">
        <f>IF(ISNUMBER(Datos!BW10+DatosP!BW17),Datos!BW10+DatosP!BW17," - ")</f>
        <v>0</v>
      </c>
      <c r="AO10" s="691">
        <f>IF(ISNUMBER(Datos!BX10+DatosP!BX17),Datos!BX10+DatosP!BX17," - ")</f>
        <v>0</v>
      </c>
      <c r="AP10" s="693">
        <f>IF(ISNUMBER(((Datos!L10/Datos!K10)*11)/factor_trimestre),((Datos!L10/Datos!K10)*11)/factor_trimestre," - ")</f>
        <v>4.7771428571428567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76</v>
      </c>
      <c r="G13" s="938">
        <f t="shared" si="0"/>
        <v>76</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175</v>
      </c>
      <c r="AC13" s="939">
        <f t="shared" si="1"/>
        <v>0</v>
      </c>
      <c r="AD13" s="939">
        <f t="shared" si="1"/>
        <v>0</v>
      </c>
      <c r="AE13" s="939">
        <f t="shared" si="1"/>
        <v>0</v>
      </c>
      <c r="AF13" s="939">
        <f t="shared" si="1"/>
        <v>76</v>
      </c>
      <c r="AG13" s="939">
        <f t="shared" si="1"/>
        <v>0</v>
      </c>
      <c r="AH13" s="939">
        <f t="shared" si="1"/>
        <v>0</v>
      </c>
      <c r="AI13" s="939">
        <f t="shared" si="1"/>
        <v>0</v>
      </c>
      <c r="AJ13" s="939">
        <f t="shared" si="1"/>
        <v>0</v>
      </c>
      <c r="AK13" s="939">
        <f t="shared" si="1"/>
        <v>0</v>
      </c>
      <c r="AL13" s="939">
        <f t="shared" si="1"/>
        <v>44</v>
      </c>
      <c r="AM13" s="939">
        <f t="shared" si="1"/>
        <v>83</v>
      </c>
      <c r="AN13" s="939">
        <f t="shared" si="1"/>
        <v>0</v>
      </c>
      <c r="AO13" s="939">
        <f t="shared" si="1"/>
        <v>0</v>
      </c>
      <c r="AP13" s="944">
        <f>IF(ISNUMBER(((Datos!L13/Datos!K13)*11)/factor_trimestre),((Datos!L13/Datos!K13)*11)/factor_trimestre," - ")</f>
        <v>5.3330522765598651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-2.3026315789473686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2.998593035525853</v>
      </c>
      <c r="AQ18" s="944">
        <f>IF(ISNUMBER(((Datos!M18/Datos!L18)*11)/factor_trimestre),((Datos!M18/Datos!L18)*11)/factor_trimestre," - ")</f>
        <v>5.4148387096774195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-4.0247678018575851E-2</v>
      </c>
      <c r="AW18" s="946">
        <f>IF(ISNUMBER((Datos!Q18-Datos!R18)/(Datos!S18-Datos!Q18+Datos!R18)),(Datos!Q18-Datos!R18)/(Datos!S18-Datos!Q18+Datos!R18)," - ")</f>
        <v>5.1759834368530024E-2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76</v>
      </c>
      <c r="G19" s="951">
        <f t="shared" si="4"/>
        <v>76</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175</v>
      </c>
      <c r="AC19" s="957">
        <f t="shared" si="5"/>
        <v>0</v>
      </c>
      <c r="AD19" s="957">
        <f t="shared" si="5"/>
        <v>0</v>
      </c>
      <c r="AE19" s="957">
        <f t="shared" si="5"/>
        <v>0</v>
      </c>
      <c r="AF19" s="958">
        <f t="shared" si="5"/>
        <v>76</v>
      </c>
      <c r="AG19" s="958">
        <f t="shared" si="5"/>
        <v>0</v>
      </c>
      <c r="AH19" s="958">
        <f t="shared" si="5"/>
        <v>0</v>
      </c>
      <c r="AI19" s="958">
        <f t="shared" si="5"/>
        <v>0</v>
      </c>
      <c r="AJ19" s="959">
        <f t="shared" si="5"/>
        <v>0</v>
      </c>
      <c r="AK19" s="959">
        <f t="shared" si="5"/>
        <v>0</v>
      </c>
      <c r="AL19" s="951">
        <f t="shared" si="5"/>
        <v>44</v>
      </c>
      <c r="AM19" s="951">
        <f t="shared" si="5"/>
        <v>83</v>
      </c>
      <c r="AN19" s="951">
        <f t="shared" si="5"/>
        <v>0</v>
      </c>
      <c r="AO19" s="951">
        <f t="shared" si="5"/>
        <v>0</v>
      </c>
      <c r="AP19" s="951">
        <f>IF(ISNUMBER(((Datos!L19/Datos!K19)*11)/factor_trimestre),((Datos!L19/Datos!K19)*11)/factor_trimestre," - ")</f>
        <v>4.3421052631578947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-2.3026315789473686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-0.14746736917734404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43.878620458411561</v>
      </c>
      <c r="G21" s="737">
        <f>IF(ISNUMBER(STDEV(G8:G18)),STDEV(G8:G18),"-")</f>
        <v>43.878620458411561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101.0362971081845</v>
      </c>
      <c r="AC21" s="738">
        <f>IF(ISNUMBER(STDEV(AC8:AC18)),STDEV(AC8:AC18),"-")</f>
        <v>0</v>
      </c>
      <c r="AD21" s="741"/>
      <c r="AE21" s="741"/>
      <c r="AF21" s="741"/>
      <c r="AG21" s="741"/>
      <c r="AH21" s="741"/>
      <c r="AI21" s="741"/>
      <c r="AJ21" s="742">
        <f>IF(ISNUMBER(STDEV(AJ8:AJ18)),STDEV(AJ8:AJ18),"-")</f>
        <v>0</v>
      </c>
      <c r="AK21" s="744"/>
      <c r="AL21" s="736">
        <f>IF(ISNUMBER(STDEV(AL8:AL18)),STDEV(AL8:AL18),"-")</f>
        <v>25.40341184434353</v>
      </c>
      <c r="AM21" s="736"/>
      <c r="AN21" s="736">
        <f>IF(ISNUMBER(STDEV(AN8:AN18)),STDEV(AN8:AN18),"-")</f>
        <v>0</v>
      </c>
      <c r="AO21" s="742">
        <f>IF(ISNUMBER(STDEV(AO8:AO18)),STDEV(AO8:AO18),"-")</f>
        <v>0</v>
      </c>
      <c r="AP21" s="779">
        <f>IF(ISNUMBER(STDEV(AP8:AP18)),STDEV(AP8:AP18),"-")</f>
        <v>1.2194243654705486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9ruCfcrCJKm3XOftVZUv88r6/UqD4V8DdJ3oe9INrvPwhoWrJ1BkhHBd+PnsafhkxthTIPFVgRRMNFaZCqSKw==" saltValue="UeHL+qw7P1oetXpG2HZN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